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lajdonos\Desktop\Anna\kt  anyagok\2021\"/>
    </mc:Choice>
  </mc:AlternateContent>
  <bookViews>
    <workbookView xWindow="0" yWindow="0" windowWidth="28800" windowHeight="11835" tabRatio="955"/>
  </bookViews>
  <sheets>
    <sheet name="1.melléklÖnkormányzati összesen" sheetId="13" r:id="rId1"/>
    <sheet name="2.melléklet Önkormányzat mérleg" sheetId="18" r:id="rId2"/>
    <sheet name="3mell-Normatíva" sheetId="1" r:id="rId3"/>
    <sheet name="4mellékletKözhatalmi bevételek" sheetId="2" r:id="rId4"/>
    <sheet name="5melléklet Működési bevétel" sheetId="6" r:id="rId5"/>
    <sheet name="6 melléklet kiadás" sheetId="29" r:id="rId6"/>
    <sheet name="7.melléklet Általános kiadások" sheetId="31" r:id="rId7"/>
    <sheet name="8.melléklet Település üzemelte" sheetId="32" r:id="rId8"/>
    <sheet name="9.melléklet Étkeztetés" sheetId="33" r:id="rId9"/>
    <sheet name="10.mell Egészségügyi" sheetId="34" r:id="rId10"/>
    <sheet name="11. melléklet Közfoglalkoztatás" sheetId="35" r:id="rId11"/>
    <sheet name="13 melléklet Átadott pénzeszköz" sheetId="23" r:id="rId12"/>
    <sheet name="12 melléklet Települési támogat" sheetId="22" r:id="rId13"/>
    <sheet name="14mellBeruházások felújítások" sheetId="12" r:id="rId14"/>
    <sheet name="15 mell Tartalék" sheetId="36" r:id="rId15"/>
    <sheet name="16mellIntézményi összesített" sheetId="3" r:id="rId16"/>
    <sheet name="17mell Óvoda" sheetId="10" r:id="rId17"/>
    <sheet name="18 mellMűvelődési Ház" sheetId="11" r:id="rId18"/>
    <sheet name="19 Hivatal költségvetése" sheetId="9" r:id="rId19"/>
    <sheet name="20 mell Ei felhaszn" sheetId="26" r:id="rId20"/>
    <sheet name="21 mellEngedélyezett létszám" sheetId="24" r:id="rId21"/>
    <sheet name="22mell Közvetett tám" sheetId="25" r:id="rId22"/>
    <sheet name="23mell Adósságot kel" sheetId="27" r:id="rId23"/>
    <sheet name="24mell Kötelezettség" sheetId="28" r:id="rId24"/>
  </sheets>
  <externalReferences>
    <externalReference r:id="rId25"/>
  </externalReferences>
  <definedNames>
    <definedName name="_xlnm.Print_Titles" localSheetId="15">'16mellIntézményi összesített'!$A:$B,'16mellIntézményi összesített'!$1:$3</definedName>
    <definedName name="_xlnm.Print_Titles" localSheetId="16">'17mell Óvoda'!$1:$3</definedName>
    <definedName name="_xlnm.Print_Area" localSheetId="15">'16mellIntézményi összesített'!$A$1:$J$20</definedName>
    <definedName name="_xlnm.Print_Area" localSheetId="16">'17mell Óvoda'!$A$1:$M$115</definedName>
    <definedName name="_xlnm.Print_Area" localSheetId="4">'5melléklet Működési bevétel'!$A$1:$E$24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3" i="32" l="1"/>
  <c r="P60" i="32"/>
  <c r="P59" i="32"/>
  <c r="P49" i="32"/>
  <c r="P47" i="32"/>
  <c r="P46" i="32"/>
  <c r="P44" i="32"/>
  <c r="P33" i="32"/>
  <c r="P31" i="32"/>
  <c r="P30" i="32"/>
  <c r="P29" i="32"/>
  <c r="P27" i="32"/>
  <c r="P25" i="32"/>
  <c r="H19" i="18"/>
  <c r="F19" i="13" l="1"/>
  <c r="G21" i="18" l="1"/>
  <c r="I24" i="10" l="1"/>
  <c r="G24" i="10"/>
  <c r="D12" i="18"/>
  <c r="D19" i="18"/>
  <c r="D21" i="18"/>
  <c r="D23" i="18"/>
  <c r="F56" i="1" l="1"/>
  <c r="G49" i="1"/>
  <c r="G46" i="1" l="1"/>
  <c r="D17" i="3" l="1"/>
  <c r="C17" i="3"/>
  <c r="D25" i="32"/>
  <c r="J113" i="10"/>
  <c r="G88" i="11"/>
  <c r="F88" i="11"/>
  <c r="K24" i="10"/>
  <c r="E11" i="33" l="1"/>
  <c r="J25" i="32" l="1"/>
  <c r="C70" i="32"/>
  <c r="D17" i="12" l="1"/>
  <c r="D14" i="12"/>
  <c r="D11" i="12"/>
  <c r="D7" i="12"/>
  <c r="C11" i="12"/>
  <c r="C7" i="12"/>
  <c r="C17" i="12"/>
  <c r="J79" i="10" l="1"/>
  <c r="J64" i="10"/>
  <c r="J39" i="10"/>
  <c r="F17" i="3"/>
  <c r="E105" i="11"/>
  <c r="L27" i="11"/>
  <c r="I73" i="11"/>
  <c r="F99" i="11"/>
  <c r="M21" i="13" l="1"/>
  <c r="G17" i="18"/>
  <c r="C16" i="13" l="1"/>
  <c r="C10" i="18" l="1"/>
  <c r="H67" i="32" l="1"/>
  <c r="M25" i="32"/>
  <c r="N25" i="32"/>
  <c r="C38" i="12"/>
  <c r="D38" i="12"/>
  <c r="D36" i="12"/>
  <c r="D27" i="12"/>
  <c r="C27" i="12"/>
  <c r="C34" i="12" l="1"/>
  <c r="C39" i="12" s="1"/>
  <c r="D34" i="12"/>
  <c r="D39" i="12" s="1"/>
  <c r="G48" i="1" l="1"/>
  <c r="G13" i="1" l="1"/>
  <c r="G23" i="1" s="1"/>
  <c r="C10" i="23"/>
  <c r="D10" i="23"/>
  <c r="E17" i="3"/>
  <c r="D105" i="11" l="1"/>
  <c r="G107" i="11" l="1"/>
  <c r="K107" i="11"/>
  <c r="J107" i="11"/>
  <c r="F107" i="11"/>
  <c r="D107" i="11" l="1"/>
  <c r="F109" i="11"/>
  <c r="C20" i="12"/>
  <c r="H81" i="11" l="1"/>
  <c r="L81" i="11"/>
  <c r="K81" i="11"/>
  <c r="M77" i="11"/>
  <c r="M81" i="11" s="1"/>
  <c r="L77" i="11"/>
  <c r="K77" i="11"/>
  <c r="J77" i="11"/>
  <c r="I77" i="11"/>
  <c r="E77" i="11" s="1"/>
  <c r="H77" i="11"/>
  <c r="G77" i="11"/>
  <c r="E97" i="11"/>
  <c r="E96" i="11"/>
  <c r="E95" i="11"/>
  <c r="E94" i="11"/>
  <c r="E93" i="11"/>
  <c r="E89" i="11"/>
  <c r="E87" i="11"/>
  <c r="E86" i="11"/>
  <c r="E85" i="11"/>
  <c r="E84" i="11"/>
  <c r="E83" i="11"/>
  <c r="E80" i="11"/>
  <c r="E79" i="11"/>
  <c r="E78" i="11"/>
  <c r="E76" i="11"/>
  <c r="E75" i="11"/>
  <c r="E74" i="11"/>
  <c r="E73" i="11"/>
  <c r="E71" i="11"/>
  <c r="E70" i="11"/>
  <c r="E68" i="11"/>
  <c r="E67" i="11"/>
  <c r="E66" i="11"/>
  <c r="E65" i="11"/>
  <c r="E64" i="11"/>
  <c r="E63" i="11"/>
  <c r="E61" i="11"/>
  <c r="E60" i="11"/>
  <c r="E59" i="11"/>
  <c r="E58" i="11"/>
  <c r="E56" i="11"/>
  <c r="E55" i="11"/>
  <c r="E54" i="11"/>
  <c r="E53" i="11"/>
  <c r="E51" i="11"/>
  <c r="E50" i="11"/>
  <c r="E49" i="11"/>
  <c r="E46" i="11"/>
  <c r="E45" i="11"/>
  <c r="E43" i="11"/>
  <c r="E42" i="11"/>
  <c r="E39" i="11"/>
  <c r="E38" i="11"/>
  <c r="E37" i="11"/>
  <c r="E36" i="11"/>
  <c r="E35" i="11"/>
  <c r="E34" i="11"/>
  <c r="E32" i="11"/>
  <c r="E31" i="11"/>
  <c r="E30" i="11"/>
  <c r="E29" i="11"/>
  <c r="D103" i="11"/>
  <c r="D102" i="11"/>
  <c r="D97" i="11"/>
  <c r="D96" i="11"/>
  <c r="D95" i="11"/>
  <c r="D94" i="11"/>
  <c r="D93" i="11"/>
  <c r="D89" i="11"/>
  <c r="D87" i="11"/>
  <c r="D85" i="11"/>
  <c r="D84" i="11"/>
  <c r="D80" i="11"/>
  <c r="D79" i="11"/>
  <c r="D78" i="11"/>
  <c r="D76" i="11"/>
  <c r="D75" i="11"/>
  <c r="D74" i="11"/>
  <c r="D71" i="11"/>
  <c r="D68" i="11"/>
  <c r="D67" i="11"/>
  <c r="D66" i="11"/>
  <c r="D65" i="11"/>
  <c r="D64" i="11"/>
  <c r="D63" i="11"/>
  <c r="D56" i="11"/>
  <c r="D55" i="11"/>
  <c r="D54" i="11"/>
  <c r="D53" i="11"/>
  <c r="D51" i="11"/>
  <c r="D50" i="11"/>
  <c r="D49" i="11"/>
  <c r="D46" i="11"/>
  <c r="D45" i="11"/>
  <c r="D43" i="11"/>
  <c r="D42" i="11"/>
  <c r="D39" i="11"/>
  <c r="D38" i="11"/>
  <c r="D37" i="11"/>
  <c r="D36" i="11"/>
  <c r="D35" i="11"/>
  <c r="D34" i="11"/>
  <c r="D32" i="11"/>
  <c r="D31" i="11"/>
  <c r="D30" i="11"/>
  <c r="D29" i="11"/>
  <c r="E23" i="11"/>
  <c r="D23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E9" i="11"/>
  <c r="D9" i="11"/>
  <c r="I72" i="11"/>
  <c r="H72" i="11"/>
  <c r="I57" i="11"/>
  <c r="E39" i="1"/>
  <c r="I81" i="11" l="1"/>
  <c r="E33" i="1"/>
  <c r="F13" i="1"/>
  <c r="F23" i="1" s="1"/>
  <c r="E13" i="1"/>
  <c r="E23" i="1" s="1"/>
  <c r="C28" i="6" l="1"/>
  <c r="D21" i="6"/>
  <c r="D66" i="32" l="1"/>
  <c r="D50" i="32"/>
  <c r="C50" i="32"/>
  <c r="N39" i="32"/>
  <c r="M39" i="32"/>
  <c r="L39" i="32"/>
  <c r="K39" i="32"/>
  <c r="J39" i="32"/>
  <c r="I39" i="32"/>
  <c r="H39" i="32"/>
  <c r="G39" i="32"/>
  <c r="F39" i="32"/>
  <c r="E39" i="32"/>
  <c r="D39" i="32"/>
  <c r="C39" i="32"/>
  <c r="M65" i="32"/>
  <c r="M74" i="32" s="1"/>
  <c r="M54" i="32"/>
  <c r="L54" i="32"/>
  <c r="L61" i="32" s="1"/>
  <c r="M50" i="32"/>
  <c r="L50" i="32"/>
  <c r="M43" i="32"/>
  <c r="M61" i="32" s="1"/>
  <c r="L43" i="32"/>
  <c r="L67" i="32" s="1"/>
  <c r="L65" i="32" s="1"/>
  <c r="L74" i="32" s="1"/>
  <c r="K43" i="32"/>
  <c r="M34" i="32"/>
  <c r="L34" i="32"/>
  <c r="M33" i="32"/>
  <c r="L25" i="32"/>
  <c r="L33" i="32" s="1"/>
  <c r="M15" i="32"/>
  <c r="M17" i="32" s="1"/>
  <c r="L15" i="32"/>
  <c r="L17" i="32" s="1"/>
  <c r="L75" i="32" l="1"/>
  <c r="L76" i="32" s="1"/>
  <c r="M75" i="32"/>
  <c r="M76" i="32" s="1"/>
  <c r="L37" i="34"/>
  <c r="J37" i="34"/>
  <c r="H37" i="34"/>
  <c r="F37" i="34"/>
  <c r="D37" i="34"/>
  <c r="N76" i="34"/>
  <c r="N75" i="34"/>
  <c r="N74" i="34"/>
  <c r="N73" i="34"/>
  <c r="N72" i="34"/>
  <c r="N71" i="34"/>
  <c r="N69" i="34"/>
  <c r="N66" i="34"/>
  <c r="N65" i="34"/>
  <c r="N63" i="34"/>
  <c r="N62" i="34"/>
  <c r="N61" i="34"/>
  <c r="N60" i="34"/>
  <c r="N59" i="34"/>
  <c r="N58" i="34"/>
  <c r="N56" i="34"/>
  <c r="N55" i="34"/>
  <c r="N54" i="34"/>
  <c r="N52" i="34"/>
  <c r="N51" i="34"/>
  <c r="N50" i="34"/>
  <c r="N49" i="34"/>
  <c r="N48" i="34"/>
  <c r="N47" i="34"/>
  <c r="N44" i="34"/>
  <c r="N43" i="34"/>
  <c r="N41" i="34"/>
  <c r="N40" i="34"/>
  <c r="N39" i="34"/>
  <c r="N38" i="34"/>
  <c r="N34" i="34"/>
  <c r="M76" i="34"/>
  <c r="M75" i="34"/>
  <c r="M74" i="34"/>
  <c r="M72" i="34"/>
  <c r="M71" i="34"/>
  <c r="M70" i="34"/>
  <c r="M69" i="34"/>
  <c r="M66" i="34"/>
  <c r="M65" i="34"/>
  <c r="M63" i="34"/>
  <c r="M62" i="34"/>
  <c r="M61" i="34"/>
  <c r="M60" i="34"/>
  <c r="M59" i="34"/>
  <c r="M58" i="34"/>
  <c r="M56" i="34"/>
  <c r="M55" i="34"/>
  <c r="M54" i="34"/>
  <c r="M52" i="34"/>
  <c r="M51" i="34"/>
  <c r="M50" i="34"/>
  <c r="M49" i="34"/>
  <c r="M48" i="34"/>
  <c r="M47" i="34"/>
  <c r="M44" i="34"/>
  <c r="M43" i="34"/>
  <c r="M41" i="34"/>
  <c r="M40" i="34"/>
  <c r="M39" i="34"/>
  <c r="M38" i="34"/>
  <c r="M35" i="34"/>
  <c r="N35" i="34"/>
  <c r="N33" i="34"/>
  <c r="N32" i="34"/>
  <c r="N31" i="34"/>
  <c r="N30" i="34"/>
  <c r="N29" i="34"/>
  <c r="N27" i="34"/>
  <c r="N26" i="34"/>
  <c r="N25" i="34"/>
  <c r="N24" i="34"/>
  <c r="N23" i="34"/>
  <c r="M34" i="34"/>
  <c r="M33" i="34"/>
  <c r="M32" i="34"/>
  <c r="M31" i="34"/>
  <c r="M30" i="34"/>
  <c r="M29" i="34"/>
  <c r="M27" i="34"/>
  <c r="M26" i="34"/>
  <c r="M25" i="34"/>
  <c r="M24" i="34"/>
  <c r="M23" i="34"/>
  <c r="N18" i="34"/>
  <c r="N17" i="34"/>
  <c r="M18" i="34"/>
  <c r="M17" i="34"/>
  <c r="N16" i="34"/>
  <c r="M16" i="34"/>
  <c r="N14" i="34"/>
  <c r="N13" i="34"/>
  <c r="N12" i="34"/>
  <c r="N11" i="34"/>
  <c r="N10" i="34"/>
  <c r="N9" i="34"/>
  <c r="N8" i="34"/>
  <c r="M14" i="34"/>
  <c r="M13" i="34"/>
  <c r="M12" i="34"/>
  <c r="M11" i="34"/>
  <c r="M10" i="34"/>
  <c r="M9" i="34"/>
  <c r="M8" i="34"/>
  <c r="N7" i="34"/>
  <c r="M7" i="34"/>
  <c r="N37" i="34" l="1"/>
  <c r="C37" i="34"/>
  <c r="C11" i="24" l="1"/>
  <c r="C16" i="24"/>
  <c r="C21" i="24"/>
  <c r="C26" i="24"/>
  <c r="C19" i="27"/>
  <c r="C27" i="27"/>
  <c r="H14" i="27"/>
  <c r="H15" i="27"/>
  <c r="H16" i="27"/>
  <c r="C35" i="27" l="1"/>
  <c r="D70" i="11"/>
  <c r="I91" i="11"/>
  <c r="H91" i="11"/>
  <c r="D60" i="11"/>
  <c r="D59" i="11"/>
  <c r="D58" i="11"/>
  <c r="H57" i="11"/>
  <c r="H69" i="11" s="1"/>
  <c r="I69" i="11"/>
  <c r="I92" i="11"/>
  <c r="H92" i="11"/>
  <c r="D73" i="11"/>
  <c r="D61" i="11"/>
  <c r="I82" i="11" l="1"/>
  <c r="I100" i="11" s="1"/>
  <c r="I109" i="11" s="1"/>
  <c r="I106" i="11" s="1"/>
  <c r="I110" i="11" s="1"/>
  <c r="H82" i="11"/>
  <c r="H100" i="11" s="1"/>
  <c r="H109" i="11" s="1"/>
  <c r="H106" i="11" s="1"/>
  <c r="H110" i="11" s="1"/>
  <c r="D16" i="13" l="1"/>
  <c r="D30" i="6"/>
  <c r="D29" i="6"/>
  <c r="D27" i="6"/>
  <c r="D28" i="6"/>
  <c r="G57" i="11" l="1"/>
  <c r="C73" i="31"/>
  <c r="M98" i="11"/>
  <c r="M99" i="11" s="1"/>
  <c r="G24" i="9"/>
  <c r="G87" i="9" l="1"/>
  <c r="P18" i="13" l="1"/>
  <c r="O18" i="13"/>
  <c r="O16" i="13"/>
  <c r="P16" i="13"/>
  <c r="N22" i="13"/>
  <c r="K20" i="13"/>
  <c r="O20" i="13" s="1"/>
  <c r="K19" i="13"/>
  <c r="O19" i="13" s="1"/>
  <c r="K15" i="13"/>
  <c r="K10" i="13"/>
  <c r="K11" i="13"/>
  <c r="K12" i="13"/>
  <c r="O13" i="13"/>
  <c r="K9" i="13"/>
  <c r="D14" i="13"/>
  <c r="H16" i="13"/>
  <c r="D18" i="13"/>
  <c r="H18" i="13" s="1"/>
  <c r="D20" i="13"/>
  <c r="G23" i="18"/>
  <c r="G24" i="18" s="1"/>
  <c r="O12" i="13" l="1"/>
  <c r="K17" i="13"/>
  <c r="C20" i="36"/>
  <c r="D19" i="13"/>
  <c r="H19" i="13" s="1"/>
  <c r="B9" i="26" s="1"/>
  <c r="C19" i="18"/>
  <c r="C19" i="13" s="1"/>
  <c r="C13" i="13"/>
  <c r="G13" i="13" s="1"/>
  <c r="C20" i="13"/>
  <c r="C18" i="13"/>
  <c r="G18" i="13" s="1"/>
  <c r="C10" i="13"/>
  <c r="G10" i="13" s="1"/>
  <c r="C11" i="13"/>
  <c r="C12" i="13"/>
  <c r="G12" i="13" s="1"/>
  <c r="C14" i="13"/>
  <c r="G16" i="13"/>
  <c r="C9" i="13"/>
  <c r="G9" i="13" s="1"/>
  <c r="D11" i="18"/>
  <c r="D12" i="13" s="1"/>
  <c r="H12" i="13" s="1"/>
  <c r="C7" i="36"/>
  <c r="D32" i="12"/>
  <c r="D20" i="12"/>
  <c r="D26" i="12" s="1"/>
  <c r="K17" i="29"/>
  <c r="L19" i="13" s="1"/>
  <c r="D16" i="23"/>
  <c r="D15" i="35"/>
  <c r="D19" i="35"/>
  <c r="C19" i="35"/>
  <c r="C15" i="35"/>
  <c r="E68" i="34"/>
  <c r="G68" i="34"/>
  <c r="I68" i="34"/>
  <c r="K68" i="34"/>
  <c r="L68" i="34"/>
  <c r="L77" i="34" s="1"/>
  <c r="D67" i="34"/>
  <c r="E67" i="34"/>
  <c r="F67" i="34"/>
  <c r="G67" i="34"/>
  <c r="H67" i="34"/>
  <c r="I67" i="34"/>
  <c r="J67" i="34"/>
  <c r="K67" i="34"/>
  <c r="L67" i="34"/>
  <c r="D57" i="34"/>
  <c r="E57" i="34"/>
  <c r="F57" i="34"/>
  <c r="G57" i="34"/>
  <c r="H57" i="34"/>
  <c r="I57" i="34"/>
  <c r="J57" i="34"/>
  <c r="K57" i="34"/>
  <c r="L57" i="34"/>
  <c r="D53" i="34"/>
  <c r="E53" i="34"/>
  <c r="F53" i="34"/>
  <c r="G53" i="34"/>
  <c r="H53" i="34"/>
  <c r="I53" i="34"/>
  <c r="J53" i="34"/>
  <c r="K53" i="34"/>
  <c r="L53" i="34"/>
  <c r="D46" i="34"/>
  <c r="E46" i="34"/>
  <c r="F46" i="34"/>
  <c r="G46" i="34"/>
  <c r="H46" i="34"/>
  <c r="I46" i="34"/>
  <c r="J46" i="34"/>
  <c r="K46" i="34"/>
  <c r="L46" i="34"/>
  <c r="D42" i="34"/>
  <c r="D45" i="34" s="1"/>
  <c r="E42" i="34"/>
  <c r="F42" i="34"/>
  <c r="F45" i="34" s="1"/>
  <c r="G42" i="34"/>
  <c r="H42" i="34"/>
  <c r="I42" i="34"/>
  <c r="J42" i="34"/>
  <c r="J45" i="34" s="1"/>
  <c r="K42" i="34"/>
  <c r="L42" i="34"/>
  <c r="L45" i="34" s="1"/>
  <c r="D28" i="34"/>
  <c r="E28" i="34"/>
  <c r="F28" i="34"/>
  <c r="G28" i="34"/>
  <c r="H28" i="34"/>
  <c r="I28" i="34"/>
  <c r="J28" i="34"/>
  <c r="K28" i="34"/>
  <c r="L28" i="34"/>
  <c r="D22" i="34"/>
  <c r="E22" i="34"/>
  <c r="F22" i="34"/>
  <c r="G22" i="34"/>
  <c r="H22" i="34"/>
  <c r="I22" i="34"/>
  <c r="J22" i="34"/>
  <c r="K22" i="34"/>
  <c r="L22" i="34"/>
  <c r="D19" i="34"/>
  <c r="E19" i="34"/>
  <c r="F19" i="34"/>
  <c r="G19" i="34"/>
  <c r="H19" i="34"/>
  <c r="I19" i="34"/>
  <c r="J19" i="34"/>
  <c r="K19" i="34"/>
  <c r="L19" i="34"/>
  <c r="F15" i="34"/>
  <c r="E15" i="34"/>
  <c r="G15" i="34"/>
  <c r="H15" i="34"/>
  <c r="I15" i="34"/>
  <c r="J15" i="34"/>
  <c r="K15" i="34"/>
  <c r="L15" i="34"/>
  <c r="K73" i="34"/>
  <c r="K77" i="34" s="1"/>
  <c r="I73" i="34"/>
  <c r="K37" i="34"/>
  <c r="I37" i="34"/>
  <c r="G73" i="34"/>
  <c r="G37" i="34"/>
  <c r="E73" i="34"/>
  <c r="E77" i="34" s="1"/>
  <c r="E37" i="34"/>
  <c r="C73" i="34"/>
  <c r="C68" i="34"/>
  <c r="C67" i="34"/>
  <c r="C57" i="34"/>
  <c r="C53" i="34"/>
  <c r="C46" i="34"/>
  <c r="C42" i="34"/>
  <c r="C45" i="34" s="1"/>
  <c r="C28" i="34"/>
  <c r="C22" i="34"/>
  <c r="C19" i="34"/>
  <c r="C15" i="34"/>
  <c r="F11" i="33"/>
  <c r="F9" i="33" s="1"/>
  <c r="F12" i="33" s="1"/>
  <c r="D9" i="33"/>
  <c r="D12" i="33" s="1"/>
  <c r="H10" i="33"/>
  <c r="C10" i="33"/>
  <c r="C9" i="33" s="1"/>
  <c r="C12" i="33" s="1"/>
  <c r="H8" i="33"/>
  <c r="G8" i="33"/>
  <c r="C43" i="32"/>
  <c r="D43" i="32"/>
  <c r="E43" i="32"/>
  <c r="F43" i="32"/>
  <c r="H43" i="32"/>
  <c r="I43" i="32"/>
  <c r="J43" i="32"/>
  <c r="N43" i="32"/>
  <c r="D54" i="32"/>
  <c r="E54" i="32"/>
  <c r="F54" i="32"/>
  <c r="G54" i="32"/>
  <c r="H54" i="32"/>
  <c r="I54" i="32"/>
  <c r="J54" i="32"/>
  <c r="K54" i="32"/>
  <c r="N54" i="32"/>
  <c r="E50" i="32"/>
  <c r="F50" i="32"/>
  <c r="G50" i="32"/>
  <c r="H50" i="32"/>
  <c r="I50" i="32"/>
  <c r="J50" i="32"/>
  <c r="K50" i="32"/>
  <c r="K61" i="32" s="1"/>
  <c r="N50" i="32"/>
  <c r="O45" i="32"/>
  <c r="P45" i="32"/>
  <c r="O46" i="32"/>
  <c r="O47" i="32"/>
  <c r="O48" i="32"/>
  <c r="P48" i="32"/>
  <c r="O49" i="32"/>
  <c r="P51" i="32"/>
  <c r="O52" i="32"/>
  <c r="P52" i="32"/>
  <c r="O53" i="32"/>
  <c r="P53" i="32"/>
  <c r="O55" i="32"/>
  <c r="P55" i="32"/>
  <c r="O56" i="32"/>
  <c r="P56" i="32"/>
  <c r="O57" i="32"/>
  <c r="P57" i="32"/>
  <c r="O58" i="32"/>
  <c r="P58" i="32"/>
  <c r="O59" i="32"/>
  <c r="O60" i="32"/>
  <c r="O62" i="32"/>
  <c r="P62" i="32"/>
  <c r="O63" i="32"/>
  <c r="O66" i="32"/>
  <c r="O68" i="32"/>
  <c r="P68" i="32"/>
  <c r="O69" i="32"/>
  <c r="P69" i="32"/>
  <c r="O71" i="32"/>
  <c r="P71" i="32"/>
  <c r="O72" i="32"/>
  <c r="P72" i="32"/>
  <c r="O73" i="32"/>
  <c r="P73" i="32"/>
  <c r="O7" i="32"/>
  <c r="P7" i="32"/>
  <c r="O8" i="32"/>
  <c r="P8" i="32"/>
  <c r="O9" i="32"/>
  <c r="P9" i="32"/>
  <c r="O10" i="32"/>
  <c r="P10" i="32"/>
  <c r="O11" i="32"/>
  <c r="P11" i="32"/>
  <c r="O12" i="32"/>
  <c r="P12" i="32"/>
  <c r="O13" i="32"/>
  <c r="P13" i="32"/>
  <c r="O14" i="32"/>
  <c r="P14" i="32"/>
  <c r="O16" i="32"/>
  <c r="P16" i="32"/>
  <c r="O20" i="32"/>
  <c r="P20" i="32"/>
  <c r="O21" i="32"/>
  <c r="P21" i="32"/>
  <c r="O22" i="32"/>
  <c r="P22" i="32"/>
  <c r="O23" i="32"/>
  <c r="P23" i="32"/>
  <c r="O24" i="32"/>
  <c r="P24" i="32"/>
  <c r="O26" i="32"/>
  <c r="P26" i="32"/>
  <c r="O27" i="32"/>
  <c r="O28" i="32"/>
  <c r="P28" i="32"/>
  <c r="O29" i="32"/>
  <c r="O30" i="32"/>
  <c r="O31" i="32"/>
  <c r="O32" i="32"/>
  <c r="P32" i="32"/>
  <c r="O35" i="32"/>
  <c r="P35" i="32"/>
  <c r="O36" i="32"/>
  <c r="P36" i="32"/>
  <c r="O37" i="32"/>
  <c r="P37" i="32"/>
  <c r="O38" i="32"/>
  <c r="P38" i="32"/>
  <c r="O39" i="32"/>
  <c r="P39" i="32"/>
  <c r="O40" i="32"/>
  <c r="P40" i="32"/>
  <c r="O41" i="32"/>
  <c r="P41" i="32"/>
  <c r="P42" i="32"/>
  <c r="O44" i="32"/>
  <c r="D70" i="32"/>
  <c r="E70" i="32"/>
  <c r="F70" i="32"/>
  <c r="G70" i="32"/>
  <c r="H70" i="32"/>
  <c r="I70" i="32"/>
  <c r="J70" i="32"/>
  <c r="K70" i="32"/>
  <c r="N70" i="32"/>
  <c r="D64" i="32"/>
  <c r="E64" i="32"/>
  <c r="F64" i="32"/>
  <c r="G64" i="32"/>
  <c r="H64" i="32"/>
  <c r="I64" i="32"/>
  <c r="J64" i="32"/>
  <c r="K64" i="32"/>
  <c r="N64" i="32"/>
  <c r="E65" i="32"/>
  <c r="G65" i="32"/>
  <c r="H65" i="32"/>
  <c r="I65" i="32"/>
  <c r="K65" i="32"/>
  <c r="D34" i="32"/>
  <c r="E34" i="32"/>
  <c r="E42" i="32" s="1"/>
  <c r="F34" i="32"/>
  <c r="G34" i="32"/>
  <c r="H34" i="32"/>
  <c r="I34" i="32"/>
  <c r="I42" i="32" s="1"/>
  <c r="J34" i="32"/>
  <c r="K34" i="32"/>
  <c r="K42" i="32" s="1"/>
  <c r="N34" i="32"/>
  <c r="E25" i="32"/>
  <c r="F25" i="32"/>
  <c r="G25" i="32"/>
  <c r="H25" i="32"/>
  <c r="I25" i="32"/>
  <c r="K25" i="32"/>
  <c r="D19" i="32"/>
  <c r="D33" i="32" s="1"/>
  <c r="E19" i="32"/>
  <c r="F19" i="32"/>
  <c r="G19" i="32"/>
  <c r="H19" i="32"/>
  <c r="I19" i="32"/>
  <c r="J19" i="32"/>
  <c r="J33" i="32" s="1"/>
  <c r="K19" i="32"/>
  <c r="N19" i="32"/>
  <c r="N33" i="32" s="1"/>
  <c r="E15" i="32"/>
  <c r="E17" i="32" s="1"/>
  <c r="E18" i="32" s="1"/>
  <c r="F15" i="32"/>
  <c r="F17" i="32" s="1"/>
  <c r="F18" i="32" s="1"/>
  <c r="G15" i="32"/>
  <c r="H15" i="32"/>
  <c r="H17" i="32" s="1"/>
  <c r="H18" i="32" s="1"/>
  <c r="I15" i="32"/>
  <c r="I17" i="32" s="1"/>
  <c r="I18" i="32" s="1"/>
  <c r="J15" i="32"/>
  <c r="J17" i="32" s="1"/>
  <c r="J18" i="32" s="1"/>
  <c r="K15" i="32"/>
  <c r="K17" i="32" s="1"/>
  <c r="K18" i="32" s="1"/>
  <c r="N15" i="32"/>
  <c r="N17" i="32" s="1"/>
  <c r="N18" i="32" s="1"/>
  <c r="G43" i="32"/>
  <c r="C64" i="32"/>
  <c r="O64" i="32" s="1"/>
  <c r="C54" i="32"/>
  <c r="C34" i="32"/>
  <c r="C25" i="32"/>
  <c r="C19" i="32"/>
  <c r="C15" i="32"/>
  <c r="D25" i="31"/>
  <c r="D26" i="31"/>
  <c r="D29" i="31"/>
  <c r="D30" i="31"/>
  <c r="D35" i="31"/>
  <c r="D38" i="31"/>
  <c r="D39" i="31"/>
  <c r="D40" i="31"/>
  <c r="D44" i="31"/>
  <c r="D48" i="31"/>
  <c r="D46" i="31" s="1"/>
  <c r="D50" i="31"/>
  <c r="D51" i="31"/>
  <c r="D54" i="31"/>
  <c r="D55" i="31"/>
  <c r="D61" i="31"/>
  <c r="D65" i="31"/>
  <c r="D66" i="31"/>
  <c r="D69" i="31"/>
  <c r="D68" i="31" s="1"/>
  <c r="D72" i="31"/>
  <c r="D75" i="31"/>
  <c r="D73" i="31" s="1"/>
  <c r="C68" i="31"/>
  <c r="C77" i="31" s="1"/>
  <c r="C67" i="31"/>
  <c r="D67" i="31" s="1"/>
  <c r="C57" i="31"/>
  <c r="C53" i="31"/>
  <c r="C46" i="31"/>
  <c r="C42" i="31"/>
  <c r="C37" i="31"/>
  <c r="D37" i="31" s="1"/>
  <c r="C28" i="31"/>
  <c r="C22" i="31"/>
  <c r="D13" i="31"/>
  <c r="C19" i="31"/>
  <c r="C15" i="31"/>
  <c r="I45" i="34" l="1"/>
  <c r="D21" i="13"/>
  <c r="D22" i="13" s="1"/>
  <c r="G33" i="32"/>
  <c r="M22" i="34"/>
  <c r="K36" i="34"/>
  <c r="E61" i="32"/>
  <c r="M67" i="34"/>
  <c r="K45" i="34"/>
  <c r="D61" i="32"/>
  <c r="I33" i="32"/>
  <c r="E33" i="32"/>
  <c r="M46" i="34"/>
  <c r="N67" i="34"/>
  <c r="D19" i="31"/>
  <c r="D20" i="31" s="1"/>
  <c r="C36" i="31"/>
  <c r="N61" i="32"/>
  <c r="N67" i="32" s="1"/>
  <c r="N46" i="34"/>
  <c r="J61" i="32"/>
  <c r="J67" i="32" s="1"/>
  <c r="J65" i="32" s="1"/>
  <c r="N53" i="34"/>
  <c r="C45" i="31"/>
  <c r="H74" i="32"/>
  <c r="I61" i="32"/>
  <c r="M19" i="34"/>
  <c r="M37" i="34"/>
  <c r="D36" i="34"/>
  <c r="M42" i="34"/>
  <c r="E45" i="34"/>
  <c r="F33" i="32"/>
  <c r="O25" i="32"/>
  <c r="M73" i="34"/>
  <c r="M68" i="34"/>
  <c r="G77" i="34"/>
  <c r="N57" i="34"/>
  <c r="M57" i="34"/>
  <c r="M53" i="34"/>
  <c r="H45" i="34"/>
  <c r="N45" i="34" s="1"/>
  <c r="N42" i="34"/>
  <c r="N19" i="34"/>
  <c r="M28" i="34"/>
  <c r="N22" i="34"/>
  <c r="E36" i="34"/>
  <c r="E20" i="34"/>
  <c r="J20" i="34"/>
  <c r="J21" i="34" s="1"/>
  <c r="F20" i="34"/>
  <c r="L36" i="34"/>
  <c r="N28" i="34"/>
  <c r="G45" i="34"/>
  <c r="I64" i="34"/>
  <c r="E64" i="34"/>
  <c r="J64" i="34"/>
  <c r="D64" i="34"/>
  <c r="C20" i="34"/>
  <c r="E78" i="34"/>
  <c r="O50" i="32"/>
  <c r="K74" i="32"/>
  <c r="G74" i="32"/>
  <c r="L20" i="34"/>
  <c r="L21" i="34" s="1"/>
  <c r="G36" i="34"/>
  <c r="C64" i="31"/>
  <c r="D64" i="31" s="1"/>
  <c r="D53" i="31"/>
  <c r="O54" i="32"/>
  <c r="P34" i="32"/>
  <c r="O51" i="32"/>
  <c r="D13" i="23"/>
  <c r="I15" i="29"/>
  <c r="K33" i="32"/>
  <c r="O43" i="32"/>
  <c r="H11" i="33"/>
  <c r="C77" i="34"/>
  <c r="M15" i="34"/>
  <c r="I20" i="34"/>
  <c r="I21" i="34" s="1"/>
  <c r="C21" i="18"/>
  <c r="C23" i="18" s="1"/>
  <c r="C42" i="32"/>
  <c r="O42" i="32" s="1"/>
  <c r="O34" i="32"/>
  <c r="C65" i="32"/>
  <c r="O65" i="32" s="1"/>
  <c r="O67" i="32"/>
  <c r="L64" i="34"/>
  <c r="L78" i="34" s="1"/>
  <c r="L79" i="34" s="1"/>
  <c r="D77" i="31"/>
  <c r="D57" i="31"/>
  <c r="D42" i="31"/>
  <c r="D45" i="31" s="1"/>
  <c r="P19" i="32"/>
  <c r="G61" i="32"/>
  <c r="G10" i="33"/>
  <c r="I77" i="34"/>
  <c r="D15" i="34"/>
  <c r="D20" i="34" s="1"/>
  <c r="I36" i="34"/>
  <c r="K64" i="34"/>
  <c r="D28" i="31"/>
  <c r="O15" i="32"/>
  <c r="H33" i="32"/>
  <c r="C64" i="34"/>
  <c r="O19" i="32"/>
  <c r="G17" i="32"/>
  <c r="G18" i="32" s="1"/>
  <c r="J74" i="32"/>
  <c r="P70" i="32"/>
  <c r="P54" i="32"/>
  <c r="F61" i="32"/>
  <c r="F67" i="32" s="1"/>
  <c r="H20" i="34"/>
  <c r="H64" i="34"/>
  <c r="D20" i="35"/>
  <c r="D21" i="35" s="1"/>
  <c r="C36" i="34"/>
  <c r="K20" i="34"/>
  <c r="K21" i="34" s="1"/>
  <c r="G64" i="34"/>
  <c r="D15" i="31"/>
  <c r="D22" i="31"/>
  <c r="O70" i="32"/>
  <c r="P64" i="32"/>
  <c r="I74" i="32"/>
  <c r="E74" i="32"/>
  <c r="J36" i="34"/>
  <c r="F64" i="34"/>
  <c r="F70" i="34" s="1"/>
  <c r="F68" i="34" s="1"/>
  <c r="F77" i="34" s="1"/>
  <c r="D7" i="22"/>
  <c r="D15" i="22" s="1"/>
  <c r="F12" i="29" s="1"/>
  <c r="F17" i="29" s="1"/>
  <c r="H11" i="18" s="1"/>
  <c r="L12" i="13" s="1"/>
  <c r="P12" i="13" s="1"/>
  <c r="P19" i="13"/>
  <c r="B18" i="26" s="1"/>
  <c r="C21" i="36"/>
  <c r="J16" i="29" s="1"/>
  <c r="C20" i="35"/>
  <c r="C21" i="35" s="1"/>
  <c r="H36" i="34"/>
  <c r="F36" i="34"/>
  <c r="G20" i="34"/>
  <c r="N15" i="34"/>
  <c r="H9" i="33"/>
  <c r="H12" i="33" s="1"/>
  <c r="E9" i="29" s="1"/>
  <c r="M9" i="29" s="1"/>
  <c r="P43" i="32"/>
  <c r="P50" i="32"/>
  <c r="H61" i="32"/>
  <c r="C61" i="32"/>
  <c r="C74" i="32"/>
  <c r="C33" i="32"/>
  <c r="D15" i="32"/>
  <c r="C17" i="32"/>
  <c r="C20" i="31"/>
  <c r="C21" i="31" s="1"/>
  <c r="N65" i="32" l="1"/>
  <c r="P67" i="32"/>
  <c r="C21" i="13"/>
  <c r="D70" i="34"/>
  <c r="D68" i="34" s="1"/>
  <c r="D77" i="34" s="1"/>
  <c r="D78" i="34" s="1"/>
  <c r="H70" i="34"/>
  <c r="H68" i="34" s="1"/>
  <c r="H77" i="34" s="1"/>
  <c r="H78" i="34" s="1"/>
  <c r="H79" i="34" s="1"/>
  <c r="M77" i="34"/>
  <c r="J70" i="34"/>
  <c r="J68" i="34" s="1"/>
  <c r="K78" i="34"/>
  <c r="K79" i="34" s="1"/>
  <c r="F65" i="32"/>
  <c r="F74" i="32" s="1"/>
  <c r="F75" i="32" s="1"/>
  <c r="F76" i="32" s="1"/>
  <c r="H14" i="29"/>
  <c r="M14" i="29" s="1"/>
  <c r="E79" i="34"/>
  <c r="M36" i="34"/>
  <c r="M45" i="34"/>
  <c r="J75" i="32"/>
  <c r="J76" i="32" s="1"/>
  <c r="G75" i="32"/>
  <c r="G76" i="32" s="1"/>
  <c r="O74" i="32"/>
  <c r="E75" i="32"/>
  <c r="E76" i="32" s="1"/>
  <c r="M12" i="29"/>
  <c r="O33" i="32"/>
  <c r="I75" i="32"/>
  <c r="I76" i="32" s="1"/>
  <c r="N64" i="34"/>
  <c r="M64" i="34"/>
  <c r="N36" i="34"/>
  <c r="N21" i="34"/>
  <c r="D10" i="29" s="1"/>
  <c r="N20" i="34"/>
  <c r="C10" i="29" s="1"/>
  <c r="M21" i="34"/>
  <c r="C78" i="34"/>
  <c r="C79" i="34" s="1"/>
  <c r="M20" i="34"/>
  <c r="G78" i="34"/>
  <c r="G79" i="34" s="1"/>
  <c r="F78" i="34"/>
  <c r="F79" i="34" s="1"/>
  <c r="I17" i="29"/>
  <c r="H15" i="18" s="1"/>
  <c r="L15" i="13" s="1"/>
  <c r="M15" i="29"/>
  <c r="H75" i="32"/>
  <c r="H76" i="32" s="1"/>
  <c r="C78" i="31"/>
  <c r="C79" i="31" s="1"/>
  <c r="D36" i="31"/>
  <c r="D78" i="31" s="1"/>
  <c r="K75" i="32"/>
  <c r="K76" i="32" s="1"/>
  <c r="D11" i="29"/>
  <c r="C11" i="29"/>
  <c r="O18" i="32"/>
  <c r="O61" i="32"/>
  <c r="D7" i="29"/>
  <c r="C7" i="29"/>
  <c r="C22" i="35"/>
  <c r="O17" i="32"/>
  <c r="I78" i="34"/>
  <c r="I79" i="34" s="1"/>
  <c r="D17" i="32"/>
  <c r="P15" i="32"/>
  <c r="H13" i="18"/>
  <c r="J17" i="29"/>
  <c r="C75" i="32"/>
  <c r="C76" i="32" s="1"/>
  <c r="P61" i="32"/>
  <c r="N74" i="32" l="1"/>
  <c r="N70" i="34"/>
  <c r="J77" i="34"/>
  <c r="N68" i="34"/>
  <c r="H17" i="29"/>
  <c r="H14" i="18" s="1"/>
  <c r="L14" i="13" s="1"/>
  <c r="D79" i="34"/>
  <c r="M78" i="34"/>
  <c r="O75" i="32"/>
  <c r="O76" i="32" s="1"/>
  <c r="M11" i="29"/>
  <c r="E7" i="29"/>
  <c r="M7" i="29" s="1"/>
  <c r="D79" i="31"/>
  <c r="D22" i="35"/>
  <c r="P17" i="32"/>
  <c r="C8" i="29" s="1"/>
  <c r="C17" i="29" s="1"/>
  <c r="H8" i="18" s="1"/>
  <c r="L9" i="13" s="1"/>
  <c r="N75" i="32" l="1"/>
  <c r="J78" i="34"/>
  <c r="N77" i="34"/>
  <c r="M79" i="34"/>
  <c r="P18" i="32"/>
  <c r="D8" i="29" s="1"/>
  <c r="D17" i="29" s="1"/>
  <c r="H9" i="18" s="1"/>
  <c r="L10" i="13" s="1"/>
  <c r="N76" i="32" l="1"/>
  <c r="J79" i="34"/>
  <c r="N79" i="34" s="1"/>
  <c r="N78" i="34"/>
  <c r="E10" i="29" s="1"/>
  <c r="M10" i="29" s="1"/>
  <c r="G106" i="9"/>
  <c r="E103" i="9"/>
  <c r="E104" i="9"/>
  <c r="H17" i="3" s="1"/>
  <c r="J17" i="3" s="1"/>
  <c r="G92" i="9"/>
  <c r="G75" i="9"/>
  <c r="G81" i="9" s="1"/>
  <c r="E81" i="9" s="1"/>
  <c r="G70" i="9"/>
  <c r="E70" i="9" s="1"/>
  <c r="G61" i="9"/>
  <c r="G57" i="9"/>
  <c r="E57" i="9" s="1"/>
  <c r="G49" i="9"/>
  <c r="E49" i="9" s="1"/>
  <c r="G44" i="9"/>
  <c r="G41" i="9"/>
  <c r="E41" i="9" s="1"/>
  <c r="G33" i="9"/>
  <c r="E33" i="9" s="1"/>
  <c r="G28" i="9"/>
  <c r="E28" i="9" s="1"/>
  <c r="E29" i="9"/>
  <c r="E30" i="9"/>
  <c r="E31" i="9"/>
  <c r="E32" i="9"/>
  <c r="E34" i="9"/>
  <c r="E35" i="9"/>
  <c r="E36" i="9"/>
  <c r="E37" i="9"/>
  <c r="E38" i="9"/>
  <c r="E39" i="9"/>
  <c r="E42" i="9"/>
  <c r="E43" i="9"/>
  <c r="E45" i="9"/>
  <c r="E46" i="9"/>
  <c r="E47" i="9"/>
  <c r="E50" i="9"/>
  <c r="E51" i="9"/>
  <c r="E52" i="9"/>
  <c r="E54" i="9"/>
  <c r="E55" i="9"/>
  <c r="E56" i="9"/>
  <c r="E58" i="9"/>
  <c r="E59" i="9"/>
  <c r="E60" i="9"/>
  <c r="E61" i="9"/>
  <c r="E62" i="9"/>
  <c r="E63" i="9"/>
  <c r="E64" i="9"/>
  <c r="E65" i="9"/>
  <c r="E66" i="9"/>
  <c r="E68" i="9"/>
  <c r="E69" i="9"/>
  <c r="E71" i="9"/>
  <c r="E72" i="9"/>
  <c r="E73" i="9"/>
  <c r="E74" i="9"/>
  <c r="E76" i="9"/>
  <c r="E77" i="9"/>
  <c r="E78" i="9"/>
  <c r="E79" i="9"/>
  <c r="E80" i="9"/>
  <c r="E83" i="9"/>
  <c r="E84" i="9"/>
  <c r="E85" i="9"/>
  <c r="E86" i="9"/>
  <c r="E87" i="9"/>
  <c r="E88" i="9"/>
  <c r="E89" i="9"/>
  <c r="E90" i="9"/>
  <c r="E91" i="9"/>
  <c r="E93" i="9"/>
  <c r="E94" i="9"/>
  <c r="E95" i="9"/>
  <c r="E96" i="9"/>
  <c r="E97" i="9"/>
  <c r="E98" i="9"/>
  <c r="E99" i="9"/>
  <c r="E100" i="9"/>
  <c r="H12" i="3" s="1"/>
  <c r="G20" i="9"/>
  <c r="E20" i="9" s="1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G85" i="10"/>
  <c r="G98" i="10" s="1"/>
  <c r="D28" i="10"/>
  <c r="G22" i="10"/>
  <c r="K22" i="10"/>
  <c r="M22" i="10" s="1"/>
  <c r="E22" i="10" s="1"/>
  <c r="G20" i="10"/>
  <c r="H20" i="10"/>
  <c r="I20" i="10"/>
  <c r="J20" i="10"/>
  <c r="K20" i="10"/>
  <c r="G26" i="10"/>
  <c r="H26" i="10"/>
  <c r="I26" i="10"/>
  <c r="J26" i="10"/>
  <c r="K26" i="10"/>
  <c r="G31" i="10"/>
  <c r="H31" i="10"/>
  <c r="I31" i="10"/>
  <c r="J31" i="10"/>
  <c r="K31" i="10"/>
  <c r="G39" i="10"/>
  <c r="H39" i="10"/>
  <c r="I39" i="10"/>
  <c r="K39" i="10"/>
  <c r="G41" i="10"/>
  <c r="H41" i="10"/>
  <c r="I41" i="10"/>
  <c r="J41" i="10"/>
  <c r="K41" i="10"/>
  <c r="H44" i="10"/>
  <c r="G45" i="10"/>
  <c r="H45" i="10"/>
  <c r="I45" i="10"/>
  <c r="J45" i="10"/>
  <c r="K45" i="10"/>
  <c r="G49" i="10"/>
  <c r="H49" i="10"/>
  <c r="I49" i="10"/>
  <c r="J49" i="10"/>
  <c r="K49" i="10"/>
  <c r="G54" i="10"/>
  <c r="I54" i="10"/>
  <c r="J54" i="10"/>
  <c r="K54" i="10"/>
  <c r="G58" i="10"/>
  <c r="H58" i="10"/>
  <c r="I58" i="10"/>
  <c r="J58" i="10"/>
  <c r="K58" i="10"/>
  <c r="G67" i="10"/>
  <c r="H67" i="10"/>
  <c r="I67" i="10"/>
  <c r="J67" i="10"/>
  <c r="K67" i="10"/>
  <c r="G72" i="10"/>
  <c r="H72" i="10"/>
  <c r="I72" i="10"/>
  <c r="I78" i="10" s="1"/>
  <c r="J72" i="10"/>
  <c r="J78" i="10" s="1"/>
  <c r="K72" i="10"/>
  <c r="K78" i="10" s="1"/>
  <c r="H78" i="10"/>
  <c r="I99" i="10"/>
  <c r="K99" i="10"/>
  <c r="G104" i="10"/>
  <c r="H104" i="10"/>
  <c r="I104" i="10"/>
  <c r="J104" i="10"/>
  <c r="K104" i="10"/>
  <c r="G111" i="10"/>
  <c r="L108" i="10"/>
  <c r="D108" i="10" s="1"/>
  <c r="M108" i="10"/>
  <c r="E108" i="10" s="1"/>
  <c r="L109" i="10"/>
  <c r="D109" i="10" s="1"/>
  <c r="M109" i="10"/>
  <c r="E109" i="10" s="1"/>
  <c r="M107" i="10"/>
  <c r="E107" i="10" s="1"/>
  <c r="L107" i="10"/>
  <c r="D107" i="10" s="1"/>
  <c r="L8" i="10"/>
  <c r="D8" i="10" s="1"/>
  <c r="M8" i="10"/>
  <c r="E8" i="10" s="1"/>
  <c r="L9" i="10"/>
  <c r="D9" i="10" s="1"/>
  <c r="M9" i="10"/>
  <c r="E9" i="10" s="1"/>
  <c r="L10" i="10"/>
  <c r="D10" i="10" s="1"/>
  <c r="M10" i="10"/>
  <c r="E10" i="10" s="1"/>
  <c r="L11" i="10"/>
  <c r="D11" i="10" s="1"/>
  <c r="M11" i="10"/>
  <c r="E11" i="10" s="1"/>
  <c r="L12" i="10"/>
  <c r="D12" i="10" s="1"/>
  <c r="M12" i="10"/>
  <c r="E12" i="10" s="1"/>
  <c r="L13" i="10"/>
  <c r="D13" i="10" s="1"/>
  <c r="M13" i="10"/>
  <c r="E13" i="10" s="1"/>
  <c r="L14" i="10"/>
  <c r="D14" i="10" s="1"/>
  <c r="M14" i="10"/>
  <c r="E14" i="10" s="1"/>
  <c r="L15" i="10"/>
  <c r="D15" i="10" s="1"/>
  <c r="M15" i="10"/>
  <c r="E15" i="10" s="1"/>
  <c r="L16" i="10"/>
  <c r="D16" i="10" s="1"/>
  <c r="M16" i="10"/>
  <c r="E16" i="10" s="1"/>
  <c r="L17" i="10"/>
  <c r="D17" i="10" s="1"/>
  <c r="M17" i="10"/>
  <c r="E17" i="10" s="1"/>
  <c r="L18" i="10"/>
  <c r="D18" i="10" s="1"/>
  <c r="M18" i="10"/>
  <c r="E18" i="10" s="1"/>
  <c r="L19" i="10"/>
  <c r="D19" i="10" s="1"/>
  <c r="M19" i="10"/>
  <c r="E19" i="10" s="1"/>
  <c r="L21" i="10"/>
  <c r="D21" i="10" s="1"/>
  <c r="M21" i="10"/>
  <c r="E21" i="10" s="1"/>
  <c r="L24" i="10"/>
  <c r="D24" i="10" s="1"/>
  <c r="L27" i="10"/>
  <c r="D27" i="10" s="1"/>
  <c r="M27" i="10"/>
  <c r="E27" i="10" s="1"/>
  <c r="L28" i="10"/>
  <c r="M28" i="10"/>
  <c r="E28" i="10" s="1"/>
  <c r="L29" i="10"/>
  <c r="D29" i="10" s="1"/>
  <c r="M29" i="10"/>
  <c r="E29" i="10" s="1"/>
  <c r="L30" i="10"/>
  <c r="D30" i="10" s="1"/>
  <c r="M30" i="10"/>
  <c r="E30" i="10" s="1"/>
  <c r="L32" i="10"/>
  <c r="D32" i="10" s="1"/>
  <c r="M32" i="10"/>
  <c r="E32" i="10" s="1"/>
  <c r="L33" i="10"/>
  <c r="D33" i="10" s="1"/>
  <c r="M33" i="10"/>
  <c r="E33" i="10" s="1"/>
  <c r="L34" i="10"/>
  <c r="D34" i="10" s="1"/>
  <c r="M34" i="10"/>
  <c r="E34" i="10" s="1"/>
  <c r="L35" i="10"/>
  <c r="D35" i="10" s="1"/>
  <c r="M35" i="10"/>
  <c r="E35" i="10" s="1"/>
  <c r="L36" i="10"/>
  <c r="D36" i="10" s="1"/>
  <c r="M36" i="10"/>
  <c r="E36" i="10" s="1"/>
  <c r="L37" i="10"/>
  <c r="D37" i="10" s="1"/>
  <c r="M37" i="10"/>
  <c r="E37" i="10" s="1"/>
  <c r="L40" i="10"/>
  <c r="D40" i="10" s="1"/>
  <c r="M40" i="10"/>
  <c r="E40" i="10" s="1"/>
  <c r="L42" i="10"/>
  <c r="D42" i="10" s="1"/>
  <c r="M42" i="10"/>
  <c r="E42" i="10" s="1"/>
  <c r="L43" i="10"/>
  <c r="D43" i="10" s="1"/>
  <c r="M43" i="10"/>
  <c r="E43" i="10" s="1"/>
  <c r="L46" i="10"/>
  <c r="D46" i="10" s="1"/>
  <c r="M46" i="10"/>
  <c r="E46" i="10" s="1"/>
  <c r="L47" i="10"/>
  <c r="D47" i="10" s="1"/>
  <c r="M47" i="10"/>
  <c r="E47" i="10" s="1"/>
  <c r="L48" i="10"/>
  <c r="D48" i="10" s="1"/>
  <c r="M48" i="10"/>
  <c r="E48" i="10" s="1"/>
  <c r="L50" i="10"/>
  <c r="D50" i="10" s="1"/>
  <c r="M50" i="10"/>
  <c r="E50" i="10" s="1"/>
  <c r="L51" i="10"/>
  <c r="D51" i="10" s="1"/>
  <c r="M51" i="10"/>
  <c r="E51" i="10" s="1"/>
  <c r="L52" i="10"/>
  <c r="D52" i="10" s="1"/>
  <c r="M52" i="10"/>
  <c r="E52" i="10" s="1"/>
  <c r="L53" i="10"/>
  <c r="D53" i="10" s="1"/>
  <c r="M53" i="10"/>
  <c r="E53" i="10" s="1"/>
  <c r="L55" i="10"/>
  <c r="D55" i="10" s="1"/>
  <c r="M55" i="10"/>
  <c r="E55" i="10" s="1"/>
  <c r="L56" i="10"/>
  <c r="D56" i="10" s="1"/>
  <c r="M56" i="10"/>
  <c r="E56" i="10" s="1"/>
  <c r="M57" i="10"/>
  <c r="E57" i="10" s="1"/>
  <c r="L59" i="10"/>
  <c r="D59" i="10" s="1"/>
  <c r="M59" i="10"/>
  <c r="E59" i="10" s="1"/>
  <c r="L60" i="10"/>
  <c r="D60" i="10" s="1"/>
  <c r="M60" i="10"/>
  <c r="E60" i="10" s="1"/>
  <c r="L61" i="10"/>
  <c r="D61" i="10" s="1"/>
  <c r="M61" i="10"/>
  <c r="E61" i="10" s="1"/>
  <c r="L62" i="10"/>
  <c r="D62" i="10" s="1"/>
  <c r="M62" i="10"/>
  <c r="E62" i="10" s="1"/>
  <c r="L63" i="10"/>
  <c r="D63" i="10" s="1"/>
  <c r="M63" i="10"/>
  <c r="E63" i="10" s="1"/>
  <c r="L65" i="10"/>
  <c r="D65" i="10" s="1"/>
  <c r="M65" i="10"/>
  <c r="E65" i="10" s="1"/>
  <c r="L66" i="10"/>
  <c r="D66" i="10" s="1"/>
  <c r="M66" i="10"/>
  <c r="E66" i="10" s="1"/>
  <c r="L68" i="10"/>
  <c r="D68" i="10" s="1"/>
  <c r="M68" i="10"/>
  <c r="E68" i="10" s="1"/>
  <c r="L69" i="10"/>
  <c r="D69" i="10" s="1"/>
  <c r="M69" i="10"/>
  <c r="E69" i="10" s="1"/>
  <c r="L70" i="10"/>
  <c r="D70" i="10" s="1"/>
  <c r="M70" i="10"/>
  <c r="E70" i="10" s="1"/>
  <c r="L71" i="10"/>
  <c r="D71" i="10" s="1"/>
  <c r="M71" i="10"/>
  <c r="E71" i="10" s="1"/>
  <c r="L73" i="10"/>
  <c r="D73" i="10" s="1"/>
  <c r="M73" i="10"/>
  <c r="E73" i="10" s="1"/>
  <c r="L74" i="10"/>
  <c r="D74" i="10" s="1"/>
  <c r="M74" i="10"/>
  <c r="E74" i="10" s="1"/>
  <c r="L75" i="10"/>
  <c r="D75" i="10" s="1"/>
  <c r="M75" i="10"/>
  <c r="E75" i="10" s="1"/>
  <c r="L76" i="10"/>
  <c r="D76" i="10" s="1"/>
  <c r="M76" i="10"/>
  <c r="E76" i="10" s="1"/>
  <c r="L77" i="10"/>
  <c r="D77" i="10" s="1"/>
  <c r="M77" i="10"/>
  <c r="E77" i="10" s="1"/>
  <c r="L80" i="10"/>
  <c r="D80" i="10" s="1"/>
  <c r="M80" i="10"/>
  <c r="E80" i="10" s="1"/>
  <c r="L81" i="10"/>
  <c r="D81" i="10" s="1"/>
  <c r="M81" i="10"/>
  <c r="E81" i="10" s="1"/>
  <c r="L82" i="10"/>
  <c r="D82" i="10" s="1"/>
  <c r="M82" i="10"/>
  <c r="E82" i="10" s="1"/>
  <c r="L83" i="10"/>
  <c r="D83" i="10" s="1"/>
  <c r="M83" i="10"/>
  <c r="E83" i="10" s="1"/>
  <c r="L84" i="10"/>
  <c r="D84" i="10" s="1"/>
  <c r="M84" i="10"/>
  <c r="E84" i="10" s="1"/>
  <c r="L86" i="10"/>
  <c r="D86" i="10" s="1"/>
  <c r="M86" i="10"/>
  <c r="E86" i="10" s="1"/>
  <c r="L87" i="10"/>
  <c r="D87" i="10" s="1"/>
  <c r="M87" i="10"/>
  <c r="E87" i="10" s="1"/>
  <c r="L88" i="10"/>
  <c r="D88" i="10" s="1"/>
  <c r="M88" i="10"/>
  <c r="E88" i="10" s="1"/>
  <c r="L89" i="10"/>
  <c r="D89" i="10" s="1"/>
  <c r="M89" i="10"/>
  <c r="E89" i="10" s="1"/>
  <c r="L90" i="10"/>
  <c r="D90" i="10" s="1"/>
  <c r="M90" i="10"/>
  <c r="E90" i="10" s="1"/>
  <c r="L91" i="10"/>
  <c r="D91" i="10" s="1"/>
  <c r="M91" i="10"/>
  <c r="E91" i="10" s="1"/>
  <c r="L92" i="10"/>
  <c r="D92" i="10" s="1"/>
  <c r="M92" i="10"/>
  <c r="E92" i="10" s="1"/>
  <c r="L93" i="10"/>
  <c r="D93" i="10" s="1"/>
  <c r="M93" i="10"/>
  <c r="E93" i="10" s="1"/>
  <c r="L94" i="10"/>
  <c r="D94" i="10" s="1"/>
  <c r="M94" i="10"/>
  <c r="E94" i="10" s="1"/>
  <c r="L95" i="10"/>
  <c r="D95" i="10" s="1"/>
  <c r="M95" i="10"/>
  <c r="E95" i="10" s="1"/>
  <c r="L96" i="10"/>
  <c r="D96" i="10" s="1"/>
  <c r="M96" i="10"/>
  <c r="E96" i="10" s="1"/>
  <c r="L97" i="10"/>
  <c r="D97" i="10" s="1"/>
  <c r="M97" i="10"/>
  <c r="E97" i="10" s="1"/>
  <c r="L100" i="10"/>
  <c r="D100" i="10" s="1"/>
  <c r="M100" i="10"/>
  <c r="E100" i="10" s="1"/>
  <c r="L101" i="10"/>
  <c r="D101" i="10" s="1"/>
  <c r="M101" i="10"/>
  <c r="E101" i="10" s="1"/>
  <c r="L102" i="10"/>
  <c r="D102" i="10" s="1"/>
  <c r="M102" i="10"/>
  <c r="E102" i="10" s="1"/>
  <c r="M103" i="10"/>
  <c r="E103" i="10" s="1"/>
  <c r="M7" i="10"/>
  <c r="E7" i="10" s="1"/>
  <c r="G23" i="10" l="1"/>
  <c r="G25" i="10" s="1"/>
  <c r="E106" i="9"/>
  <c r="M39" i="10"/>
  <c r="E39" i="10" s="1"/>
  <c r="M49" i="10"/>
  <c r="E49" i="10" s="1"/>
  <c r="D15" i="3"/>
  <c r="G44" i="10"/>
  <c r="M31" i="10"/>
  <c r="E31" i="10" s="1"/>
  <c r="G48" i="9"/>
  <c r="E48" i="9" s="1"/>
  <c r="G38" i="10"/>
  <c r="K38" i="10"/>
  <c r="M26" i="10"/>
  <c r="E26" i="10" s="1"/>
  <c r="H23" i="10"/>
  <c r="M67" i="10"/>
  <c r="E67" i="10" s="1"/>
  <c r="G67" i="9"/>
  <c r="E67" i="9" s="1"/>
  <c r="J14" i="3"/>
  <c r="H15" i="3"/>
  <c r="E75" i="9"/>
  <c r="M58" i="10"/>
  <c r="E58" i="10" s="1"/>
  <c r="M72" i="10"/>
  <c r="E72" i="10" s="1"/>
  <c r="G78" i="10"/>
  <c r="M78" i="10" s="1"/>
  <c r="E78" i="10" s="1"/>
  <c r="K23" i="10"/>
  <c r="M104" i="10"/>
  <c r="E104" i="10" s="1"/>
  <c r="D12" i="3" s="1"/>
  <c r="I44" i="10"/>
  <c r="I38" i="10"/>
  <c r="M41" i="10"/>
  <c r="E41" i="10" s="1"/>
  <c r="H38" i="10"/>
  <c r="J23" i="10"/>
  <c r="M54" i="10"/>
  <c r="E54" i="10" s="1"/>
  <c r="J38" i="10"/>
  <c r="M20" i="10"/>
  <c r="E20" i="10" s="1"/>
  <c r="E44" i="9"/>
  <c r="E92" i="9"/>
  <c r="H11" i="3" s="1"/>
  <c r="G40" i="9"/>
  <c r="E40" i="9" s="1"/>
  <c r="G25" i="9"/>
  <c r="M85" i="10"/>
  <c r="E85" i="10" s="1"/>
  <c r="G99" i="10"/>
  <c r="M99" i="10" s="1"/>
  <c r="E99" i="10" s="1"/>
  <c r="D11" i="3" s="1"/>
  <c r="M98" i="10"/>
  <c r="E98" i="10" s="1"/>
  <c r="M45" i="10"/>
  <c r="E45" i="10" s="1"/>
  <c r="K44" i="10"/>
  <c r="I23" i="10"/>
  <c r="J44" i="10"/>
  <c r="G92" i="11"/>
  <c r="G99" i="11" s="1"/>
  <c r="J92" i="11"/>
  <c r="D92" i="11" s="1"/>
  <c r="K92" i="11"/>
  <c r="L92" i="11"/>
  <c r="L98" i="11" s="1"/>
  <c r="L99" i="11" s="1"/>
  <c r="M92" i="11"/>
  <c r="G33" i="11"/>
  <c r="J33" i="11"/>
  <c r="K33" i="11"/>
  <c r="L33" i="11"/>
  <c r="M33" i="11"/>
  <c r="G28" i="11"/>
  <c r="J28" i="11"/>
  <c r="K28" i="11"/>
  <c r="L28" i="11"/>
  <c r="M28" i="11"/>
  <c r="G24" i="11"/>
  <c r="J24" i="11"/>
  <c r="K24" i="11"/>
  <c r="L24" i="11"/>
  <c r="M24" i="11"/>
  <c r="G22" i="11"/>
  <c r="J22" i="11"/>
  <c r="J25" i="11" s="1"/>
  <c r="J27" i="11" s="1"/>
  <c r="K22" i="11"/>
  <c r="L22" i="11"/>
  <c r="M22" i="11"/>
  <c r="J81" i="11"/>
  <c r="K98" i="11"/>
  <c r="G81" i="11"/>
  <c r="G72" i="11"/>
  <c r="J72" i="11"/>
  <c r="K72" i="11"/>
  <c r="L72" i="11"/>
  <c r="M72" i="11"/>
  <c r="G62" i="11"/>
  <c r="J62" i="11"/>
  <c r="K62" i="11"/>
  <c r="L62" i="11"/>
  <c r="M62" i="11"/>
  <c r="J57" i="11"/>
  <c r="K57" i="11"/>
  <c r="L57" i="11"/>
  <c r="M57" i="11"/>
  <c r="J52" i="11"/>
  <c r="K52" i="11"/>
  <c r="L52" i="11"/>
  <c r="M52" i="11"/>
  <c r="G48" i="11"/>
  <c r="J48" i="11"/>
  <c r="K48" i="11"/>
  <c r="L48" i="11"/>
  <c r="M48" i="11"/>
  <c r="G41" i="11"/>
  <c r="J41" i="11"/>
  <c r="K41" i="11"/>
  <c r="L41" i="11"/>
  <c r="M41" i="11"/>
  <c r="G44" i="11"/>
  <c r="J44" i="11"/>
  <c r="K44" i="11"/>
  <c r="L44" i="11"/>
  <c r="M44" i="11"/>
  <c r="M90" i="11"/>
  <c r="K90" i="11"/>
  <c r="J88" i="11"/>
  <c r="K88" i="11"/>
  <c r="K91" i="11" s="1"/>
  <c r="L88" i="11"/>
  <c r="M88" i="11"/>
  <c r="G112" i="10"/>
  <c r="M112" i="10" s="1"/>
  <c r="E112" i="10" s="1"/>
  <c r="G29" i="1"/>
  <c r="G32" i="1"/>
  <c r="G33" i="1"/>
  <c r="E102" i="11"/>
  <c r="E103" i="11"/>
  <c r="E104" i="11"/>
  <c r="F16" i="3" s="1"/>
  <c r="J16" i="3" s="1"/>
  <c r="E108" i="11"/>
  <c r="L7" i="10"/>
  <c r="D7" i="10" s="1"/>
  <c r="D8" i="6"/>
  <c r="D16" i="6"/>
  <c r="D19" i="6" s="1"/>
  <c r="G54" i="1"/>
  <c r="G50" i="1"/>
  <c r="G42" i="1"/>
  <c r="G64" i="10" l="1"/>
  <c r="G79" i="10" s="1"/>
  <c r="G105" i="10" s="1"/>
  <c r="G113" i="10" s="1"/>
  <c r="G110" i="10" s="1"/>
  <c r="G114" i="10" s="1"/>
  <c r="D23" i="6"/>
  <c r="E48" i="11"/>
  <c r="E57" i="11"/>
  <c r="E24" i="11"/>
  <c r="E52" i="11"/>
  <c r="K99" i="11"/>
  <c r="E98" i="11"/>
  <c r="E88" i="11"/>
  <c r="E44" i="11"/>
  <c r="E62" i="11"/>
  <c r="E33" i="11"/>
  <c r="E90" i="11"/>
  <c r="E41" i="11"/>
  <c r="E72" i="11"/>
  <c r="E22" i="11"/>
  <c r="E99" i="11"/>
  <c r="F12" i="3" s="1"/>
  <c r="J12" i="3" s="1"/>
  <c r="N15" i="13" s="1"/>
  <c r="P15" i="13" s="1"/>
  <c r="E92" i="11"/>
  <c r="E81" i="11"/>
  <c r="D9" i="18"/>
  <c r="D10" i="13" s="1"/>
  <c r="H10" i="13" s="1"/>
  <c r="K25" i="10"/>
  <c r="M38" i="10"/>
  <c r="E38" i="10" s="1"/>
  <c r="G39" i="1"/>
  <c r="I64" i="10"/>
  <c r="I79" i="10" s="1"/>
  <c r="K64" i="10"/>
  <c r="K79" i="10" s="1"/>
  <c r="G82" i="9"/>
  <c r="E82" i="9" s="1"/>
  <c r="H10" i="3" s="1"/>
  <c r="K25" i="11"/>
  <c r="K26" i="11" s="1"/>
  <c r="K27" i="11" s="1"/>
  <c r="K40" i="11"/>
  <c r="L40" i="11"/>
  <c r="G37" i="1"/>
  <c r="K111" i="10"/>
  <c r="M111" i="10" s="1"/>
  <c r="E111" i="10" s="1"/>
  <c r="M44" i="10"/>
  <c r="E44" i="10" s="1"/>
  <c r="F15" i="3"/>
  <c r="J15" i="3" s="1"/>
  <c r="F14" i="13" s="1"/>
  <c r="M25" i="11"/>
  <c r="G25" i="11"/>
  <c r="E25" i="11" s="1"/>
  <c r="M40" i="11"/>
  <c r="G40" i="11"/>
  <c r="E40" i="11" s="1"/>
  <c r="E25" i="9"/>
  <c r="H8" i="3" s="1"/>
  <c r="M23" i="10"/>
  <c r="E23" i="10" s="1"/>
  <c r="D8" i="3" s="1"/>
  <c r="J47" i="11"/>
  <c r="L47" i="11"/>
  <c r="M69" i="11"/>
  <c r="J69" i="11"/>
  <c r="L25" i="11"/>
  <c r="M47" i="11"/>
  <c r="G47" i="11"/>
  <c r="L69" i="11"/>
  <c r="K69" i="11"/>
  <c r="J40" i="11"/>
  <c r="G69" i="11"/>
  <c r="M91" i="11"/>
  <c r="G91" i="11"/>
  <c r="K47" i="11"/>
  <c r="E28" i="11"/>
  <c r="E107" i="11"/>
  <c r="D8" i="18" l="1"/>
  <c r="D9" i="13" s="1"/>
  <c r="H9" i="13" s="1"/>
  <c r="E91" i="11"/>
  <c r="F11" i="3" s="1"/>
  <c r="J11" i="3" s="1"/>
  <c r="N14" i="13" s="1"/>
  <c r="P14" i="13" s="1"/>
  <c r="G15" i="26" s="1"/>
  <c r="D26" i="11"/>
  <c r="E69" i="11"/>
  <c r="E47" i="11"/>
  <c r="M24" i="10"/>
  <c r="E24" i="10" s="1"/>
  <c r="D9" i="3" s="1"/>
  <c r="M64" i="10"/>
  <c r="E64" i="10" s="1"/>
  <c r="K105" i="10"/>
  <c r="K113" i="10" s="1"/>
  <c r="K110" i="10" s="1"/>
  <c r="K114" i="10" s="1"/>
  <c r="K115" i="10" s="1"/>
  <c r="D31" i="6"/>
  <c r="F17" i="13"/>
  <c r="H14" i="13"/>
  <c r="F8" i="3"/>
  <c r="J8" i="3" s="1"/>
  <c r="M82" i="11"/>
  <c r="G27" i="9"/>
  <c r="E26" i="9"/>
  <c r="I25" i="10"/>
  <c r="M79" i="10"/>
  <c r="E79" i="10" s="1"/>
  <c r="D10" i="3" s="1"/>
  <c r="G115" i="10"/>
  <c r="G82" i="11"/>
  <c r="K82" i="11"/>
  <c r="K100" i="11" s="1"/>
  <c r="D88" i="11"/>
  <c r="F112" i="10"/>
  <c r="F111" i="10"/>
  <c r="C7" i="22"/>
  <c r="C15" i="22" s="1"/>
  <c r="D14" i="18" l="1"/>
  <c r="D17" i="18" s="1"/>
  <c r="D24" i="18" s="1"/>
  <c r="D13" i="3"/>
  <c r="G27" i="11"/>
  <c r="G100" i="11" s="1"/>
  <c r="G109" i="11" s="1"/>
  <c r="E26" i="11"/>
  <c r="F9" i="3" s="1"/>
  <c r="D10" i="18"/>
  <c r="D11" i="13" s="1"/>
  <c r="E82" i="11"/>
  <c r="F10" i="3" s="1"/>
  <c r="M27" i="11"/>
  <c r="M100" i="11"/>
  <c r="M109" i="11" s="1"/>
  <c r="M106" i="11" s="1"/>
  <c r="M110" i="11" s="1"/>
  <c r="M111" i="11" s="1"/>
  <c r="L57" i="10"/>
  <c r="D57" i="10" s="1"/>
  <c r="H54" i="10"/>
  <c r="H64" i="10" s="1"/>
  <c r="H79" i="10" s="1"/>
  <c r="G101" i="9"/>
  <c r="G107" i="9" s="1"/>
  <c r="N9" i="13"/>
  <c r="E27" i="9"/>
  <c r="E101" i="9" s="1"/>
  <c r="H9" i="3"/>
  <c r="M25" i="10"/>
  <c r="E25" i="10" s="1"/>
  <c r="I105" i="10"/>
  <c r="I113" i="10" s="1"/>
  <c r="K109" i="11"/>
  <c r="F48" i="1"/>
  <c r="F39" i="1"/>
  <c r="F33" i="1"/>
  <c r="C13" i="23"/>
  <c r="C16" i="23"/>
  <c r="F50" i="1"/>
  <c r="F42" i="1"/>
  <c r="F32" i="1"/>
  <c r="F29" i="1"/>
  <c r="D15" i="13" l="1"/>
  <c r="H15" i="13" s="1"/>
  <c r="P9" i="13"/>
  <c r="E27" i="11"/>
  <c r="K106" i="11"/>
  <c r="E109" i="11"/>
  <c r="E106" i="11" s="1"/>
  <c r="E100" i="11"/>
  <c r="H11" i="13"/>
  <c r="F46" i="1"/>
  <c r="L112" i="10"/>
  <c r="D112" i="10" s="1"/>
  <c r="J10" i="3"/>
  <c r="N11" i="13" s="1"/>
  <c r="F13" i="3"/>
  <c r="G105" i="9"/>
  <c r="G108" i="9" s="1"/>
  <c r="G109" i="9" s="1"/>
  <c r="E107" i="9"/>
  <c r="J9" i="3"/>
  <c r="H13" i="3"/>
  <c r="M105" i="10"/>
  <c r="E105" i="10" s="1"/>
  <c r="C12" i="23"/>
  <c r="F37" i="1"/>
  <c r="D12" i="23" l="1"/>
  <c r="D18" i="23" s="1"/>
  <c r="C18" i="23"/>
  <c r="K110" i="11"/>
  <c r="K111" i="11" s="1"/>
  <c r="G106" i="11"/>
  <c r="G110" i="11" s="1"/>
  <c r="G111" i="11" s="1"/>
  <c r="F49" i="1"/>
  <c r="E110" i="11"/>
  <c r="E111" i="11" s="1"/>
  <c r="F18" i="3"/>
  <c r="F19" i="3" s="1"/>
  <c r="F20" i="3" s="1"/>
  <c r="E105" i="9"/>
  <c r="E108" i="9" s="1"/>
  <c r="E109" i="9" s="1"/>
  <c r="N10" i="13"/>
  <c r="J13" i="3"/>
  <c r="M113" i="10"/>
  <c r="E113" i="10" s="1"/>
  <c r="I110" i="10"/>
  <c r="D15" i="2"/>
  <c r="D6" i="2"/>
  <c r="D10" i="2"/>
  <c r="D14" i="2" s="1"/>
  <c r="P10" i="13" l="1"/>
  <c r="N17" i="13"/>
  <c r="H18" i="3"/>
  <c r="H19" i="3" s="1"/>
  <c r="H20" i="3" s="1"/>
  <c r="M110" i="10"/>
  <c r="E110" i="10" s="1"/>
  <c r="D18" i="3" s="1"/>
  <c r="D19" i="3" s="1"/>
  <c r="D20" i="3" s="1"/>
  <c r="I114" i="10"/>
  <c r="D19" i="2"/>
  <c r="C13" i="25"/>
  <c r="B13" i="25"/>
  <c r="C32" i="12"/>
  <c r="F22" i="11"/>
  <c r="D22" i="11" s="1"/>
  <c r="J18" i="3" l="1"/>
  <c r="L16" i="29" s="1"/>
  <c r="D10" i="27"/>
  <c r="N23" i="13"/>
  <c r="I115" i="10"/>
  <c r="M114" i="10"/>
  <c r="M115" i="10" s="1"/>
  <c r="F41" i="11"/>
  <c r="D41" i="11" s="1"/>
  <c r="J19" i="3" l="1"/>
  <c r="J20" i="3" s="1"/>
  <c r="F20" i="13"/>
  <c r="F21" i="13" s="1"/>
  <c r="D13" i="13"/>
  <c r="H20" i="18"/>
  <c r="L17" i="29"/>
  <c r="M16" i="29"/>
  <c r="K14" i="28"/>
  <c r="E13" i="28"/>
  <c r="E14" i="28" s="1"/>
  <c r="F13" i="28"/>
  <c r="F14" i="28" s="1"/>
  <c r="G13" i="28"/>
  <c r="G14" i="28" s="1"/>
  <c r="H13" i="28"/>
  <c r="H14" i="28" s="1"/>
  <c r="I13" i="28"/>
  <c r="I14" i="28" s="1"/>
  <c r="J13" i="28"/>
  <c r="J14" i="28" s="1"/>
  <c r="D13" i="28"/>
  <c r="D14" i="28" s="1"/>
  <c r="L12" i="28"/>
  <c r="L13" i="28" s="1"/>
  <c r="L14" i="28" s="1"/>
  <c r="H20" i="13" l="1"/>
  <c r="B8" i="26"/>
  <c r="H13" i="13"/>
  <c r="H17" i="13" s="1"/>
  <c r="D17" i="13"/>
  <c r="D23" i="13" s="1"/>
  <c r="L20" i="13"/>
  <c r="H21" i="18"/>
  <c r="H23" i="18" s="1"/>
  <c r="H21" i="13"/>
  <c r="H22" i="13" s="1"/>
  <c r="F22" i="13"/>
  <c r="F23" i="13" s="1"/>
  <c r="B10" i="26" s="1"/>
  <c r="F103" i="10"/>
  <c r="L103" i="10" s="1"/>
  <c r="D103" i="10" s="1"/>
  <c r="F100" i="9"/>
  <c r="D96" i="9"/>
  <c r="D95" i="9"/>
  <c r="D88" i="9"/>
  <c r="F87" i="9"/>
  <c r="D94" i="9"/>
  <c r="H23" i="13" l="1"/>
  <c r="P20" i="13"/>
  <c r="L21" i="13"/>
  <c r="F24" i="13"/>
  <c r="D106" i="9"/>
  <c r="D104" i="9"/>
  <c r="G17" i="3" s="1"/>
  <c r="D103" i="9"/>
  <c r="G15" i="3" s="1"/>
  <c r="D8" i="9"/>
  <c r="D9" i="9"/>
  <c r="D10" i="9"/>
  <c r="D11" i="9"/>
  <c r="D12" i="9"/>
  <c r="D13" i="9"/>
  <c r="D14" i="9"/>
  <c r="D15" i="9"/>
  <c r="D16" i="9"/>
  <c r="D17" i="9"/>
  <c r="D18" i="9"/>
  <c r="D19" i="9"/>
  <c r="D21" i="9"/>
  <c r="D22" i="9"/>
  <c r="D23" i="9"/>
  <c r="D29" i="9"/>
  <c r="D30" i="9"/>
  <c r="D31" i="9"/>
  <c r="D32" i="9"/>
  <c r="D34" i="9"/>
  <c r="D35" i="9"/>
  <c r="D36" i="9"/>
  <c r="D37" i="9"/>
  <c r="D38" i="9"/>
  <c r="D39" i="9"/>
  <c r="D42" i="9"/>
  <c r="D43" i="9"/>
  <c r="D45" i="9"/>
  <c r="D46" i="9"/>
  <c r="D47" i="9"/>
  <c r="D50" i="9"/>
  <c r="D51" i="9"/>
  <c r="D52" i="9"/>
  <c r="D54" i="9"/>
  <c r="D55" i="9"/>
  <c r="D56" i="9"/>
  <c r="D58" i="9"/>
  <c r="D59" i="9"/>
  <c r="D60" i="9"/>
  <c r="D62" i="9"/>
  <c r="D63" i="9"/>
  <c r="D64" i="9"/>
  <c r="D65" i="9"/>
  <c r="D66" i="9"/>
  <c r="D68" i="9"/>
  <c r="D69" i="9"/>
  <c r="D71" i="9"/>
  <c r="D72" i="9"/>
  <c r="D73" i="9"/>
  <c r="D74" i="9"/>
  <c r="D76" i="9"/>
  <c r="D77" i="9"/>
  <c r="D78" i="9"/>
  <c r="D79" i="9"/>
  <c r="D80" i="9"/>
  <c r="D84" i="9"/>
  <c r="D85" i="9"/>
  <c r="D89" i="9"/>
  <c r="D90" i="9"/>
  <c r="D91" i="9"/>
  <c r="D93" i="9"/>
  <c r="D97" i="9"/>
  <c r="D98" i="9"/>
  <c r="D99" i="9"/>
  <c r="D100" i="9"/>
  <c r="D7" i="9"/>
  <c r="G13" i="29"/>
  <c r="G17" i="29" l="1"/>
  <c r="H12" i="18" s="1"/>
  <c r="M13" i="29"/>
  <c r="P21" i="13"/>
  <c r="P22" i="13" s="1"/>
  <c r="L22" i="13"/>
  <c r="L13" i="13" l="1"/>
  <c r="C8" i="6"/>
  <c r="C16" i="6"/>
  <c r="C19" i="6" s="1"/>
  <c r="C23" i="6" l="1"/>
  <c r="P13" i="13"/>
  <c r="C13" i="28"/>
  <c r="L10" i="28"/>
  <c r="F10" i="28"/>
  <c r="E10" i="28"/>
  <c r="D10" i="28"/>
  <c r="C10" i="28"/>
  <c r="H34" i="27"/>
  <c r="H33" i="27"/>
  <c r="H32" i="27"/>
  <c r="H31" i="27"/>
  <c r="H30" i="27"/>
  <c r="H29" i="27"/>
  <c r="H28" i="27"/>
  <c r="F27" i="27"/>
  <c r="E27" i="27"/>
  <c r="D27" i="27"/>
  <c r="H26" i="27"/>
  <c r="H25" i="27"/>
  <c r="H24" i="27"/>
  <c r="H23" i="27"/>
  <c r="H22" i="27"/>
  <c r="H21" i="27"/>
  <c r="H20" i="27"/>
  <c r="F19" i="27"/>
  <c r="E19" i="27"/>
  <c r="D19" i="27"/>
  <c r="D13" i="27"/>
  <c r="E12" i="27"/>
  <c r="D11" i="27"/>
  <c r="N16" i="26"/>
  <c r="E11" i="27" l="1"/>
  <c r="F11" i="27" s="1"/>
  <c r="E13" i="27"/>
  <c r="F12" i="27"/>
  <c r="H12" i="27" s="1"/>
  <c r="C17" i="18"/>
  <c r="C24" i="18" s="1"/>
  <c r="G25" i="18" s="1"/>
  <c r="C31" i="6"/>
  <c r="D35" i="27"/>
  <c r="E35" i="27"/>
  <c r="F35" i="27"/>
  <c r="H27" i="27"/>
  <c r="C9" i="26"/>
  <c r="D9" i="26" s="1"/>
  <c r="E9" i="26" s="1"/>
  <c r="F9" i="26" s="1"/>
  <c r="G9" i="26" s="1"/>
  <c r="N18" i="26"/>
  <c r="F13" i="27"/>
  <c r="H19" i="27"/>
  <c r="H13" i="27" l="1"/>
  <c r="H11" i="27"/>
  <c r="H35" i="27"/>
  <c r="C15" i="13"/>
  <c r="N9" i="26"/>
  <c r="C6" i="2" l="1"/>
  <c r="E54" i="1"/>
  <c r="E50" i="1"/>
  <c r="F54" i="1" l="1"/>
  <c r="C14" i="12" l="1"/>
  <c r="C26" i="12" l="1"/>
  <c r="G12" i="3" l="1"/>
  <c r="D87" i="9"/>
  <c r="D86" i="9"/>
  <c r="F83" i="9"/>
  <c r="D83" i="9" s="1"/>
  <c r="F75" i="9"/>
  <c r="D75" i="9" s="1"/>
  <c r="F70" i="9"/>
  <c r="D70" i="9" s="1"/>
  <c r="F49" i="9"/>
  <c r="D49" i="9" s="1"/>
  <c r="F44" i="9"/>
  <c r="D44" i="9" s="1"/>
  <c r="F41" i="9"/>
  <c r="D41" i="9" s="1"/>
  <c r="F33" i="9"/>
  <c r="D33" i="9" s="1"/>
  <c r="F28" i="9"/>
  <c r="D28" i="9" s="1"/>
  <c r="D104" i="11"/>
  <c r="J98" i="11"/>
  <c r="J86" i="11"/>
  <c r="D86" i="11" s="1"/>
  <c r="L83" i="11"/>
  <c r="L90" i="11" s="1"/>
  <c r="J83" i="11"/>
  <c r="F83" i="11"/>
  <c r="F77" i="11"/>
  <c r="D77" i="11" s="1"/>
  <c r="F72" i="11"/>
  <c r="D72" i="11" s="1"/>
  <c r="F62" i="11"/>
  <c r="D62" i="11" s="1"/>
  <c r="F57" i="11"/>
  <c r="D57" i="11" s="1"/>
  <c r="F52" i="11"/>
  <c r="D52" i="11" s="1"/>
  <c r="F48" i="11"/>
  <c r="D48" i="11" s="1"/>
  <c r="F44" i="11"/>
  <c r="F33" i="11"/>
  <c r="F28" i="11"/>
  <c r="F24" i="11"/>
  <c r="F104" i="10"/>
  <c r="L104" i="10" s="1"/>
  <c r="D104" i="10" s="1"/>
  <c r="J85" i="10"/>
  <c r="H85" i="10"/>
  <c r="F85" i="10"/>
  <c r="F72" i="10"/>
  <c r="L72" i="10" s="1"/>
  <c r="D72" i="10" s="1"/>
  <c r="F67" i="10"/>
  <c r="L67" i="10" s="1"/>
  <c r="D67" i="10" s="1"/>
  <c r="F58" i="10"/>
  <c r="L58" i="10" s="1"/>
  <c r="D58" i="10" s="1"/>
  <c r="F54" i="10"/>
  <c r="L54" i="10" s="1"/>
  <c r="D54" i="10" s="1"/>
  <c r="F49" i="10"/>
  <c r="L49" i="10" s="1"/>
  <c r="D49" i="10" s="1"/>
  <c r="F45" i="10"/>
  <c r="L45" i="10" s="1"/>
  <c r="D45" i="10" s="1"/>
  <c r="F41" i="10"/>
  <c r="L41" i="10" s="1"/>
  <c r="D41" i="10" s="1"/>
  <c r="F39" i="10"/>
  <c r="L39" i="10" s="1"/>
  <c r="D39" i="10" s="1"/>
  <c r="F31" i="10"/>
  <c r="L31" i="10" s="1"/>
  <c r="D31" i="10" s="1"/>
  <c r="F26" i="10"/>
  <c r="L26" i="10" s="1"/>
  <c r="D26" i="10" s="1"/>
  <c r="F22" i="10"/>
  <c r="L22" i="10" s="1"/>
  <c r="D22" i="10" s="1"/>
  <c r="F20" i="10"/>
  <c r="L20" i="10" s="1"/>
  <c r="D20" i="10" s="1"/>
  <c r="F47" i="11" l="1"/>
  <c r="D47" i="11" s="1"/>
  <c r="D44" i="11"/>
  <c r="F25" i="11"/>
  <c r="D25" i="11" s="1"/>
  <c r="D24" i="11"/>
  <c r="L91" i="11"/>
  <c r="D90" i="11"/>
  <c r="D83" i="11"/>
  <c r="J99" i="11"/>
  <c r="D99" i="11" s="1"/>
  <c r="D98" i="11"/>
  <c r="L85" i="10"/>
  <c r="D85" i="10" s="1"/>
  <c r="J98" i="10"/>
  <c r="J99" i="10" s="1"/>
  <c r="F57" i="9"/>
  <c r="D57" i="9" s="1"/>
  <c r="F24" i="9"/>
  <c r="D24" i="9" s="1"/>
  <c r="F61" i="9"/>
  <c r="D61" i="9" s="1"/>
  <c r="F20" i="9"/>
  <c r="D20" i="9" s="1"/>
  <c r="F81" i="9"/>
  <c r="F48" i="9"/>
  <c r="D48" i="9" s="1"/>
  <c r="F92" i="9"/>
  <c r="F40" i="9"/>
  <c r="D40" i="9" s="1"/>
  <c r="F40" i="11"/>
  <c r="D40" i="11" s="1"/>
  <c r="L82" i="11"/>
  <c r="F69" i="11"/>
  <c r="D69" i="11" s="1"/>
  <c r="D33" i="11"/>
  <c r="D28" i="11"/>
  <c r="J82" i="11"/>
  <c r="F44" i="10"/>
  <c r="L44" i="10" s="1"/>
  <c r="D44" i="10" s="1"/>
  <c r="J25" i="10"/>
  <c r="J91" i="11"/>
  <c r="F23" i="10"/>
  <c r="F38" i="10"/>
  <c r="L38" i="10" s="1"/>
  <c r="D38" i="10" s="1"/>
  <c r="H98" i="10"/>
  <c r="H99" i="10" s="1"/>
  <c r="D81" i="9" l="1"/>
  <c r="J105" i="10"/>
  <c r="L98" i="10"/>
  <c r="D98" i="10" s="1"/>
  <c r="H25" i="10"/>
  <c r="L23" i="10"/>
  <c r="D23" i="10" s="1"/>
  <c r="F99" i="10"/>
  <c r="L99" i="10" s="1"/>
  <c r="D99" i="10" s="1"/>
  <c r="F67" i="9"/>
  <c r="D67" i="9" s="1"/>
  <c r="D92" i="9"/>
  <c r="G11" i="3" s="1"/>
  <c r="F25" i="9"/>
  <c r="C9" i="3"/>
  <c r="F27" i="11"/>
  <c r="D27" i="11" s="1"/>
  <c r="F81" i="11"/>
  <c r="D81" i="11" s="1"/>
  <c r="F64" i="10"/>
  <c r="L64" i="10" s="1"/>
  <c r="D64" i="10" s="1"/>
  <c r="F25" i="10"/>
  <c r="F82" i="9" l="1"/>
  <c r="D82" i="9" s="1"/>
  <c r="G10" i="3" s="1"/>
  <c r="D25" i="9"/>
  <c r="G8" i="3" s="1"/>
  <c r="F27" i="9"/>
  <c r="L25" i="10"/>
  <c r="D25" i="10" s="1"/>
  <c r="H105" i="10"/>
  <c r="E9" i="3"/>
  <c r="J100" i="11"/>
  <c r="C8" i="3"/>
  <c r="E8" i="3"/>
  <c r="F82" i="11"/>
  <c r="D82" i="11" s="1"/>
  <c r="F78" i="10"/>
  <c r="L78" i="10" s="1"/>
  <c r="D78" i="10" s="1"/>
  <c r="C11" i="3"/>
  <c r="D26" i="9" l="1"/>
  <c r="F101" i="9"/>
  <c r="F107" i="9" s="1"/>
  <c r="F105" i="9" s="1"/>
  <c r="F108" i="9" s="1"/>
  <c r="F109" i="9" s="1"/>
  <c r="H113" i="10"/>
  <c r="L100" i="11"/>
  <c r="E10" i="3"/>
  <c r="F79" i="10"/>
  <c r="L79" i="10" s="1"/>
  <c r="D79" i="10" s="1"/>
  <c r="G9" i="3" l="1"/>
  <c r="D27" i="9"/>
  <c r="D101" i="9" s="1"/>
  <c r="L109" i="11"/>
  <c r="L106" i="11" s="1"/>
  <c r="L110" i="11" s="1"/>
  <c r="L111" i="11" s="1"/>
  <c r="E114" i="10"/>
  <c r="E115" i="10" s="1"/>
  <c r="F105" i="10"/>
  <c r="L105" i="10" s="1"/>
  <c r="D105" i="10" s="1"/>
  <c r="D107" i="9" l="1"/>
  <c r="C10" i="3"/>
  <c r="F113" i="10"/>
  <c r="D105" i="9" l="1"/>
  <c r="D108" i="9" s="1"/>
  <c r="F110" i="10"/>
  <c r="D109" i="9" l="1"/>
  <c r="G18" i="3"/>
  <c r="F114" i="10"/>
  <c r="F115" i="10" l="1"/>
  <c r="C10" i="2" l="1"/>
  <c r="C15" i="2"/>
  <c r="C14" i="2" l="1"/>
  <c r="I14" i="3"/>
  <c r="I17" i="3"/>
  <c r="E19" i="13" l="1"/>
  <c r="G19" i="13" s="1"/>
  <c r="C19" i="2"/>
  <c r="C10" i="27" s="1"/>
  <c r="C17" i="27" s="1"/>
  <c r="C18" i="27" s="1"/>
  <c r="C36" i="27" s="1"/>
  <c r="E16" i="3" l="1"/>
  <c r="I16" i="3" s="1"/>
  <c r="E15" i="13" s="1"/>
  <c r="G15" i="13" s="1"/>
  <c r="D17" i="27" l="1"/>
  <c r="D18" i="27" s="1"/>
  <c r="E10" i="27"/>
  <c r="E12" i="3"/>
  <c r="G19" i="3"/>
  <c r="D36" i="27" l="1"/>
  <c r="E17" i="27"/>
  <c r="E18" i="27" s="1"/>
  <c r="E36" i="27" s="1"/>
  <c r="F10" i="27"/>
  <c r="E15" i="3"/>
  <c r="F17" i="27" l="1"/>
  <c r="F18" i="27" s="1"/>
  <c r="F36" i="27" s="1"/>
  <c r="G10" i="27"/>
  <c r="C15" i="3"/>
  <c r="I15" i="3" s="1"/>
  <c r="G14" i="13" s="1"/>
  <c r="C12" i="3"/>
  <c r="C13" i="3" s="1"/>
  <c r="G17" i="27" l="1"/>
  <c r="G18" i="27" s="1"/>
  <c r="G36" i="27" s="1"/>
  <c r="H36" i="27" s="1"/>
  <c r="H10" i="27"/>
  <c r="H17" i="27" s="1"/>
  <c r="C22" i="13"/>
  <c r="H18" i="27" l="1"/>
  <c r="I12" i="3"/>
  <c r="O15" i="13" s="1"/>
  <c r="I10" i="3" l="1"/>
  <c r="O11" i="13" s="1"/>
  <c r="I9" i="3" l="1"/>
  <c r="O10" i="13" s="1"/>
  <c r="I8" i="3"/>
  <c r="O9" i="13" s="1"/>
  <c r="G13" i="3"/>
  <c r="G20" i="3" s="1"/>
  <c r="M22" i="13" l="1"/>
  <c r="E48" i="1" l="1"/>
  <c r="E42" i="1"/>
  <c r="E32" i="1"/>
  <c r="J111" i="10" s="1"/>
  <c r="E29" i="1"/>
  <c r="L111" i="10" l="1"/>
  <c r="D111" i="10" s="1"/>
  <c r="E46" i="1"/>
  <c r="E37" i="1"/>
  <c r="H110" i="10" l="1"/>
  <c r="L113" i="10"/>
  <c r="D113" i="10" s="1"/>
  <c r="J110" i="10"/>
  <c r="J114" i="10" s="1"/>
  <c r="J115" i="10" s="1"/>
  <c r="E49" i="1"/>
  <c r="L110" i="10" l="1"/>
  <c r="D110" i="10" s="1"/>
  <c r="C18" i="3" s="1"/>
  <c r="H114" i="10"/>
  <c r="L114" i="10" s="1"/>
  <c r="D114" i="10" s="1"/>
  <c r="D115" i="10" s="1"/>
  <c r="H115" i="10" l="1"/>
  <c r="L115" i="10"/>
  <c r="C19" i="3"/>
  <c r="C20" i="3" s="1"/>
  <c r="C17" i="13"/>
  <c r="E11" i="13"/>
  <c r="G11" i="13" s="1"/>
  <c r="G17" i="13" l="1"/>
  <c r="C23" i="13"/>
  <c r="E17" i="13"/>
  <c r="C8" i="26" l="1"/>
  <c r="D8" i="26" s="1"/>
  <c r="E8" i="26" s="1"/>
  <c r="F8" i="26" s="1"/>
  <c r="G8" i="26" s="1"/>
  <c r="H8" i="26" s="1"/>
  <c r="I8" i="26" s="1"/>
  <c r="J8" i="26" s="1"/>
  <c r="K8" i="26" s="1"/>
  <c r="L8" i="26" s="1"/>
  <c r="M8" i="26" s="1"/>
  <c r="N8" i="26" l="1"/>
  <c r="F91" i="11" l="1"/>
  <c r="D91" i="11" s="1"/>
  <c r="E11" i="3" l="1"/>
  <c r="F100" i="11"/>
  <c r="D100" i="11" l="1"/>
  <c r="I11" i="3"/>
  <c r="E13" i="3"/>
  <c r="I13" i="3" l="1"/>
  <c r="O14" i="13"/>
  <c r="M17" i="13" l="1"/>
  <c r="O17" i="13" s="1"/>
  <c r="M23" i="13" l="1"/>
  <c r="K21" i="13" l="1"/>
  <c r="O21" i="13" s="1"/>
  <c r="J15" i="26"/>
  <c r="N15" i="26" l="1"/>
  <c r="K22" i="13"/>
  <c r="K23" i="13" s="1"/>
  <c r="O22" i="13"/>
  <c r="O23" i="13" s="1"/>
  <c r="K24" i="13" l="1"/>
  <c r="C24" i="13"/>
  <c r="B11" i="26" l="1"/>
  <c r="B21" i="26" s="1"/>
  <c r="C10" i="26" l="1"/>
  <c r="C11" i="26" s="1"/>
  <c r="C21" i="26" s="1"/>
  <c r="B17" i="26"/>
  <c r="C17" i="26" l="1"/>
  <c r="D10" i="26"/>
  <c r="D11" i="26" s="1"/>
  <c r="D21" i="26" s="1"/>
  <c r="E10" i="26" l="1"/>
  <c r="E11" i="26" s="1"/>
  <c r="E21" i="26" s="1"/>
  <c r="D17" i="26"/>
  <c r="E17" i="26" l="1"/>
  <c r="F10" i="26"/>
  <c r="F11" i="26" s="1"/>
  <c r="F21" i="26" s="1"/>
  <c r="G10" i="26" l="1"/>
  <c r="G11" i="26" s="1"/>
  <c r="G21" i="26" s="1"/>
  <c r="F17" i="26"/>
  <c r="G17" i="26" l="1"/>
  <c r="H10" i="26"/>
  <c r="H11" i="26" s="1"/>
  <c r="H21" i="26" s="1"/>
  <c r="H17" i="26" l="1"/>
  <c r="I10" i="26"/>
  <c r="I11" i="26" s="1"/>
  <c r="I21" i="26" s="1"/>
  <c r="I17" i="26" l="1"/>
  <c r="J10" i="26"/>
  <c r="J11" i="26" s="1"/>
  <c r="J21" i="26" s="1"/>
  <c r="J17" i="26" l="1"/>
  <c r="K10" i="26"/>
  <c r="K11" i="26" s="1"/>
  <c r="K21" i="26" s="1"/>
  <c r="K17" i="26" l="1"/>
  <c r="L10" i="26"/>
  <c r="L11" i="26" s="1"/>
  <c r="L21" i="26" s="1"/>
  <c r="L17" i="26" l="1"/>
  <c r="M10" i="26"/>
  <c r="M11" i="26" s="1"/>
  <c r="M21" i="26" s="1"/>
  <c r="N21" i="26" s="1"/>
  <c r="M17" i="26" l="1"/>
  <c r="N10" i="26"/>
  <c r="N11" i="26" s="1"/>
  <c r="N17" i="26" l="1"/>
  <c r="P66" i="32"/>
  <c r="D65" i="32"/>
  <c r="D74" i="32" l="1"/>
  <c r="P74" i="32" s="1"/>
  <c r="P65" i="32"/>
  <c r="D75" i="32" l="1"/>
  <c r="P75" i="32" s="1"/>
  <c r="D76" i="32" l="1"/>
  <c r="P76" i="32"/>
  <c r="E8" i="29"/>
  <c r="M8" i="29" l="1"/>
  <c r="E17" i="29"/>
  <c r="H10" i="18" s="1"/>
  <c r="L11" i="13" l="1"/>
  <c r="H17" i="18"/>
  <c r="H24" i="18" s="1"/>
  <c r="D25" i="18" s="1"/>
  <c r="M17" i="29"/>
  <c r="P11" i="13" l="1"/>
  <c r="B14" i="26" s="1"/>
  <c r="L17" i="13"/>
  <c r="P17" i="13" s="1"/>
  <c r="P23" i="13" s="1"/>
  <c r="B19" i="26" l="1"/>
  <c r="B20" i="26" s="1"/>
  <c r="C14" i="26"/>
  <c r="L23" i="13"/>
  <c r="D24" i="13" s="1"/>
  <c r="H24" i="13"/>
  <c r="C19" i="26" l="1"/>
  <c r="C20" i="26" s="1"/>
  <c r="D14" i="26"/>
  <c r="B22" i="26"/>
  <c r="C22" i="26" l="1"/>
  <c r="E14" i="26"/>
  <c r="D19" i="26"/>
  <c r="D20" i="26" s="1"/>
  <c r="E19" i="26" l="1"/>
  <c r="E20" i="26" s="1"/>
  <c r="F14" i="26"/>
  <c r="D22" i="26"/>
  <c r="E22" i="26" l="1"/>
  <c r="F19" i="26"/>
  <c r="F20" i="26" s="1"/>
  <c r="G14" i="26"/>
  <c r="F22" i="26" l="1"/>
  <c r="G19" i="26"/>
  <c r="G20" i="26" s="1"/>
  <c r="H14" i="26"/>
  <c r="G22" i="26" l="1"/>
  <c r="I14" i="26"/>
  <c r="H19" i="26"/>
  <c r="H20" i="26" s="1"/>
  <c r="H22" i="26" l="1"/>
  <c r="I19" i="26"/>
  <c r="I20" i="26" s="1"/>
  <c r="J14" i="26"/>
  <c r="I22" i="26" l="1"/>
  <c r="K14" i="26"/>
  <c r="J19" i="26"/>
  <c r="J20" i="26" s="1"/>
  <c r="J22" i="26" l="1"/>
  <c r="K19" i="26"/>
  <c r="K20" i="26" s="1"/>
  <c r="L14" i="26"/>
  <c r="K22" i="26" l="1"/>
  <c r="M14" i="26"/>
  <c r="L19" i="26"/>
  <c r="L20" i="26" s="1"/>
  <c r="L22" i="26" l="1"/>
  <c r="M19" i="26"/>
  <c r="M20" i="26" s="1"/>
  <c r="N20" i="26" s="1"/>
  <c r="N22" i="26" s="1"/>
  <c r="N14" i="26"/>
  <c r="N19" i="26" s="1"/>
  <c r="M22" i="26" l="1"/>
  <c r="J109" i="11"/>
  <c r="D108" i="11"/>
  <c r="J106" i="11" l="1"/>
  <c r="J110" i="11" s="1"/>
  <c r="J111" i="11" s="1"/>
  <c r="D109" i="11"/>
  <c r="D106" i="11" s="1"/>
  <c r="F106" i="11"/>
  <c r="F110" i="11" s="1"/>
  <c r="F111" i="11" s="1"/>
  <c r="D110" i="11" l="1"/>
  <c r="D111" i="11" s="1"/>
  <c r="E18" i="3"/>
  <c r="E19" i="3" s="1"/>
  <c r="E20" i="3" s="1"/>
  <c r="I18" i="3" l="1"/>
  <c r="I19" i="3" l="1"/>
  <c r="I20" i="3" s="1"/>
  <c r="E21" i="13"/>
  <c r="G20" i="13"/>
  <c r="E22" i="13" l="1"/>
  <c r="E23" i="13" s="1"/>
  <c r="G21" i="13"/>
  <c r="G22" i="13" s="1"/>
  <c r="G23" i="13" s="1"/>
  <c r="M24" i="13" l="1"/>
  <c r="E24" i="13"/>
  <c r="G24" i="13"/>
  <c r="O24" i="13"/>
  <c r="G11" i="33"/>
  <c r="E12" i="33"/>
  <c r="G9" i="33"/>
  <c r="G12" i="33" s="1"/>
  <c r="E9" i="33"/>
</calcChain>
</file>

<file path=xl/sharedStrings.xml><?xml version="1.0" encoding="utf-8"?>
<sst xmlns="http://schemas.openxmlformats.org/spreadsheetml/2006/main" count="1563" uniqueCount="768">
  <si>
    <t>Támogatási forma</t>
  </si>
  <si>
    <t>Támogatás megnevezése</t>
  </si>
  <si>
    <t>Támogatás</t>
  </si>
  <si>
    <t>Mutató</t>
  </si>
  <si>
    <t>Ft/mutató</t>
  </si>
  <si>
    <t>Ft-ban</t>
  </si>
  <si>
    <t>Eredeti előirányzat</t>
  </si>
  <si>
    <t>I.1.a)</t>
  </si>
  <si>
    <t>Önkormányzati hivatal működésének támogatása (beszámítás után)</t>
  </si>
  <si>
    <t>I.1.b)</t>
  </si>
  <si>
    <t>Település-üzemeltetéshez kapcsolódó feladatellátás támogatása (beszámítás után)</t>
  </si>
  <si>
    <t>I.1. b) ba)</t>
  </si>
  <si>
    <t>A zöldterület-gazdálkodással kapcsolatos feladatok ellátásának támogatása</t>
  </si>
  <si>
    <t>I.1. b) bb)</t>
  </si>
  <si>
    <t>Közvilágítás fenntartásának támogatása</t>
  </si>
  <si>
    <t>I.1. b) bc)</t>
  </si>
  <si>
    <t>Köztemető fenntartással kapcsolatos feladatok támogatása</t>
  </si>
  <si>
    <t>I.1. b) bd)</t>
  </si>
  <si>
    <t>Közutak fenntartásának támogatása</t>
  </si>
  <si>
    <t>I.1.c)</t>
  </si>
  <si>
    <t>Egyéb kötelező önkormányzati feladatok támogatása (beszámítás után)</t>
  </si>
  <si>
    <t>I.1.d)</t>
  </si>
  <si>
    <t>Lakott külterülettel kapcsolatos feladatok támogatása (beszámítás után)*</t>
  </si>
  <si>
    <t>I.1.e)</t>
  </si>
  <si>
    <t>Üdülőhelyi feladatok támogatása**</t>
  </si>
  <si>
    <t>I.</t>
  </si>
  <si>
    <t>Települési önkormányzatok általános működésének támogatása (B111)</t>
  </si>
  <si>
    <t>II.1.</t>
  </si>
  <si>
    <t>Óvodapedagógusok 8 havi támogatása</t>
  </si>
  <si>
    <t>Óvodapedagógusok 4 havi támogatása</t>
  </si>
  <si>
    <t>Óvodapedagógusuk 4 havi pótlólagos támogatása</t>
  </si>
  <si>
    <t>segítők 8 havi támogatása</t>
  </si>
  <si>
    <t>segítők 4 havi támogatása</t>
  </si>
  <si>
    <t>Óvodapedagógusok, és az óvodapedagógusok nevelőmunkáját közvetlenül segítők bértámogatása összesen (B112):</t>
  </si>
  <si>
    <t>II.2.</t>
  </si>
  <si>
    <t>óvodaműködtetési támogatás 8 havi támogatása</t>
  </si>
  <si>
    <t>óvodaműködtetési támogatás 4 havi támogatása</t>
  </si>
  <si>
    <t>Óvodaműködtetési támogatás összesen (B112):</t>
  </si>
  <si>
    <t>II.</t>
  </si>
  <si>
    <t>Települési önkormányzatok egyes köznevelési feladatainak támogatása összesen (B112):</t>
  </si>
  <si>
    <t>III.2.</t>
  </si>
  <si>
    <t>A települési önkormányzatok szociális feladatainak egyéb támogatása</t>
  </si>
  <si>
    <t>III.3.</t>
  </si>
  <si>
    <t>III.5.</t>
  </si>
  <si>
    <t>Gyermekétkeztetés támogatása</t>
  </si>
  <si>
    <t>III.5.a)</t>
  </si>
  <si>
    <t>Gyermekétkeztetés szempontjából elismert dolgozók bértámogatása</t>
  </si>
  <si>
    <t>III.5.b)</t>
  </si>
  <si>
    <t>Gyermekétkezetés üzemeltetési támogatása</t>
  </si>
  <si>
    <t>III.</t>
  </si>
  <si>
    <t>Települési önormányzatok szociális , gyermekjóléti és gyermekétkeztetési feladatainak támogatása összesen (B113)</t>
  </si>
  <si>
    <t>Könyvtári, közművelődési és múzeumi feladatok támogatása</t>
  </si>
  <si>
    <t>IV.</t>
  </si>
  <si>
    <t>Települési önkormányzatok kulturális feladatok támogatása összesen (B114)</t>
  </si>
  <si>
    <t>Helyi önkormányzatok és többcélú kistérésgi társulások egyes költségvetési kapcsolatokból számított bevételei öszesen</t>
  </si>
  <si>
    <t>I.1. jogcímekhez kapcsolódó kiegészítés</t>
  </si>
  <si>
    <t>Kiegészítő támogatás az óvodapedagógusok minősítéséből adódó többlet kiadásokhoz</t>
  </si>
  <si>
    <t>2 fő</t>
  </si>
  <si>
    <t>1 fő</t>
  </si>
  <si>
    <t>Gyermekek napközbeni ellátása</t>
  </si>
  <si>
    <t>Bölcsődei ellátás</t>
  </si>
  <si>
    <t>fő</t>
  </si>
  <si>
    <t>III.6.</t>
  </si>
  <si>
    <t>Rászoruló gyermekek szünidei étkeztetési támogatása</t>
  </si>
  <si>
    <t xml:space="preserve">Költségvetési bevételek </t>
  </si>
  <si>
    <t xml:space="preserve">Költségvetési kiadások </t>
  </si>
  <si>
    <t xml:space="preserve">Rovat megnevezése </t>
  </si>
  <si>
    <t>Rovat száma</t>
  </si>
  <si>
    <t>Rovat megnevezése</t>
  </si>
  <si>
    <t xml:space="preserve">Önkormányzatok működési támogatásai  </t>
  </si>
  <si>
    <t>B11</t>
  </si>
  <si>
    <t>Törvény szerinti illetmények, munkabérek</t>
  </si>
  <si>
    <t>K1101</t>
  </si>
  <si>
    <t>K1104</t>
  </si>
  <si>
    <t>Jubileumi jutalom</t>
  </si>
  <si>
    <t>K1106</t>
  </si>
  <si>
    <t xml:space="preserve">Béren kívüli juttatások </t>
  </si>
  <si>
    <t>K1107</t>
  </si>
  <si>
    <t xml:space="preserve">Közlekedési költségtérítés </t>
  </si>
  <si>
    <t>K1109</t>
  </si>
  <si>
    <t xml:space="preserve">Egyéb költségtérítések </t>
  </si>
  <si>
    <t>K1110</t>
  </si>
  <si>
    <t>Egyéb személyi jellegű ráfordítások</t>
  </si>
  <si>
    <t>K1113</t>
  </si>
  <si>
    <t>Egyéb működési célú támogatások bevételei államháztartáson belülről</t>
  </si>
  <si>
    <t>B16</t>
  </si>
  <si>
    <t xml:space="preserve">Foglalkoztatottak személyi juttatásai </t>
  </si>
  <si>
    <t>K11</t>
  </si>
  <si>
    <t xml:space="preserve">Választott tisztségviselők juttatásai </t>
  </si>
  <si>
    <t>K121</t>
  </si>
  <si>
    <t xml:space="preserve">Munkavégzésre irányuló egyéb jogviszonyban nem saját foglalkoztatottnak fizetett juttatások </t>
  </si>
  <si>
    <t>K122</t>
  </si>
  <si>
    <t xml:space="preserve">Egyéb külső személyi juttatások </t>
  </si>
  <si>
    <t>K123</t>
  </si>
  <si>
    <t>Működési célú támogatások államháztartáson belülről mindösszesen</t>
  </si>
  <si>
    <t>B1</t>
  </si>
  <si>
    <t xml:space="preserve">Külső személyi juttatások </t>
  </si>
  <si>
    <t>K12</t>
  </si>
  <si>
    <t xml:space="preserve">Személyi juttatások </t>
  </si>
  <si>
    <t>K1</t>
  </si>
  <si>
    <t xml:space="preserve">Munkaadókat terhelő járulékok és szociális hozzájárulási adó </t>
  </si>
  <si>
    <t>K2</t>
  </si>
  <si>
    <t xml:space="preserve">Felhalmozási célú támogatások államháztartáson belülről </t>
  </si>
  <si>
    <t>B2</t>
  </si>
  <si>
    <t xml:space="preserve">Vagyoni tipusú adók </t>
  </si>
  <si>
    <t>B34</t>
  </si>
  <si>
    <t xml:space="preserve">Szakmai anyagok beszerzése </t>
  </si>
  <si>
    <t>K311</t>
  </si>
  <si>
    <t xml:space="preserve">ebből: építményadó  </t>
  </si>
  <si>
    <t xml:space="preserve">Üzemeltetési anyagok beszerzése </t>
  </si>
  <si>
    <t>K312</t>
  </si>
  <si>
    <t xml:space="preserve">ebből: magánszemélyek kommunális adója </t>
  </si>
  <si>
    <t xml:space="preserve">Árubeszerzés </t>
  </si>
  <si>
    <t>K313</t>
  </si>
  <si>
    <t xml:space="preserve">ebből: telekadó </t>
  </si>
  <si>
    <t xml:space="preserve">Készletbeszerzés </t>
  </si>
  <si>
    <t>K31</t>
  </si>
  <si>
    <t xml:space="preserve">Értékesítési és forgalmi adók </t>
  </si>
  <si>
    <t>B351</t>
  </si>
  <si>
    <t xml:space="preserve">Informatikai szolgáltatások igénybevétele </t>
  </si>
  <si>
    <t>K321</t>
  </si>
  <si>
    <t xml:space="preserve">ebből: állandó jeleggel végzett iparűzési tevékenység után fizetett helyi iparűzési adó </t>
  </si>
  <si>
    <t xml:space="preserve">Egyéb kommunikációs szolgáltatások </t>
  </si>
  <si>
    <t>K322</t>
  </si>
  <si>
    <t>Gépjárműadók</t>
  </si>
  <si>
    <t>B354</t>
  </si>
  <si>
    <t xml:space="preserve">Kommunikációs szolgáltatások </t>
  </si>
  <si>
    <t>K32</t>
  </si>
  <si>
    <t>Egyéb áruhasználati és szolgáltatási adók   (B355)</t>
  </si>
  <si>
    <t xml:space="preserve">Közüzemi díjak </t>
  </si>
  <si>
    <t>K331</t>
  </si>
  <si>
    <t xml:space="preserve">Vásárolt élelmezés </t>
  </si>
  <si>
    <t>K332</t>
  </si>
  <si>
    <t>Termékek és szolgáltatások adói mindösszesen</t>
  </si>
  <si>
    <t>B35</t>
  </si>
  <si>
    <t xml:space="preserve">Bérleti és lízing díjak </t>
  </si>
  <si>
    <t>K333</t>
  </si>
  <si>
    <t xml:space="preserve">Egyéb közhatalmi bevételek </t>
  </si>
  <si>
    <t>B36</t>
  </si>
  <si>
    <t xml:space="preserve">Karbantartási, kisjavítási szolgáltatások </t>
  </si>
  <si>
    <t>K334</t>
  </si>
  <si>
    <t xml:space="preserve">ebből: igazgatási szolgáltatási díjak </t>
  </si>
  <si>
    <t xml:space="preserve">Szakmai tevékenységet segítő szolgáltatások </t>
  </si>
  <si>
    <t>K336</t>
  </si>
  <si>
    <t xml:space="preserve">Egyéb szolgáltatások  </t>
  </si>
  <si>
    <t>K337</t>
  </si>
  <si>
    <t>Közhatalmi bevételek mindösszesen:</t>
  </si>
  <si>
    <t>B3</t>
  </si>
  <si>
    <t xml:space="preserve">Szolgáltatási kiadások </t>
  </si>
  <si>
    <t>K33</t>
  </si>
  <si>
    <t xml:space="preserve">Készletértékesítés ellenértéke </t>
  </si>
  <si>
    <t>B401</t>
  </si>
  <si>
    <t xml:space="preserve">Kiküldetések kiadásai </t>
  </si>
  <si>
    <t>K341</t>
  </si>
  <si>
    <t xml:space="preserve">Szolgáltatások ellenértéke </t>
  </si>
  <si>
    <t>B402</t>
  </si>
  <si>
    <t xml:space="preserve">Reklám- és propagandakiadások </t>
  </si>
  <si>
    <t>K342</t>
  </si>
  <si>
    <t xml:space="preserve">Kiküldetések, reklám- és propagandakiadások </t>
  </si>
  <si>
    <t>K34</t>
  </si>
  <si>
    <t xml:space="preserve">Közvetített szolgáltatások ellenértéke  </t>
  </si>
  <si>
    <t>B403</t>
  </si>
  <si>
    <t xml:space="preserve">Működési célú előzetesen felszámított általános forgalmi adó </t>
  </si>
  <si>
    <t>K351</t>
  </si>
  <si>
    <t xml:space="preserve">Ellátási díjak </t>
  </si>
  <si>
    <t>B405</t>
  </si>
  <si>
    <t xml:space="preserve">Fizetendő általános forgalmi adó  </t>
  </si>
  <si>
    <t>K352</t>
  </si>
  <si>
    <t xml:space="preserve">Kiszámlázott általános forgalmi adó </t>
  </si>
  <si>
    <t>B406</t>
  </si>
  <si>
    <t>Kamatkiadások</t>
  </si>
  <si>
    <t>K353</t>
  </si>
  <si>
    <t xml:space="preserve">Kamatbevételek és más nyereségjellegű bevételek </t>
  </si>
  <si>
    <t>B408</t>
  </si>
  <si>
    <t xml:space="preserve">Egyéb dologi kiadások </t>
  </si>
  <si>
    <t>K355</t>
  </si>
  <si>
    <t>Biztosító által fizetett kártérítés</t>
  </si>
  <si>
    <t>B410</t>
  </si>
  <si>
    <t>Különféle befizetések és egyéb dologi kiadások</t>
  </si>
  <si>
    <t>K35</t>
  </si>
  <si>
    <t xml:space="preserve">Dologi kiadások </t>
  </si>
  <si>
    <t>K3</t>
  </si>
  <si>
    <t>Működési bevételek mindösszesen</t>
  </si>
  <si>
    <t>B4</t>
  </si>
  <si>
    <t xml:space="preserve">Működési célú átvett pénzeszközök </t>
  </si>
  <si>
    <t>B6</t>
  </si>
  <si>
    <t>Ellátottak pénzbeli juttatásai  (K4)</t>
  </si>
  <si>
    <t>K4</t>
  </si>
  <si>
    <t xml:space="preserve">Felhalmozási célú átvett pénzeszközök </t>
  </si>
  <si>
    <t>B7</t>
  </si>
  <si>
    <t xml:space="preserve"> (B1-B7)</t>
  </si>
  <si>
    <t>Egyéb működési célú kiadások</t>
  </si>
  <si>
    <t>K5</t>
  </si>
  <si>
    <t>Immateriális javak beszerzése, létesítése</t>
  </si>
  <si>
    <t>K61</t>
  </si>
  <si>
    <t xml:space="preserve">Ingatlanok beszerzése, létesítése </t>
  </si>
  <si>
    <t>K62</t>
  </si>
  <si>
    <t xml:space="preserve">Informatikai eszközök beszerzése, létesítése </t>
  </si>
  <si>
    <t>K63</t>
  </si>
  <si>
    <t>Egyéb tárgyi eszközök beszerzése, létesítése</t>
  </si>
  <si>
    <t>K64</t>
  </si>
  <si>
    <t>Beruházási célú előzetesen felszámított általános forgalmi adó</t>
  </si>
  <si>
    <t>K67</t>
  </si>
  <si>
    <t>Beruházások</t>
  </si>
  <si>
    <t>K6</t>
  </si>
  <si>
    <t>Ingatlanok felújítása</t>
  </si>
  <si>
    <t>K71</t>
  </si>
  <si>
    <t xml:space="preserve">Felújítási célú előzetesen felszámított általános forgalmi adó </t>
  </si>
  <si>
    <t>K74</t>
  </si>
  <si>
    <t xml:space="preserve">Felújítások </t>
  </si>
  <si>
    <t>K7</t>
  </si>
  <si>
    <t>Előző év költségvetési maradványának igénybevétele</t>
  </si>
  <si>
    <t>(B8131)</t>
  </si>
  <si>
    <t xml:space="preserve">Államháztartáson belüli megelőlegezések visszafizetése </t>
  </si>
  <si>
    <t>K914</t>
  </si>
  <si>
    <t xml:space="preserve">Maradvány igénybevétele </t>
  </si>
  <si>
    <t>(B813)</t>
  </si>
  <si>
    <t xml:space="preserve">Központi, irányító szervi támogatások folyósítása </t>
  </si>
  <si>
    <t>K915</t>
  </si>
  <si>
    <t xml:space="preserve">Belföldi finanszírozás bevételei </t>
  </si>
  <si>
    <t>(B81)</t>
  </si>
  <si>
    <t xml:space="preserve">Belföldi finanszírozás kiadásai </t>
  </si>
  <si>
    <t>K91</t>
  </si>
  <si>
    <t>Finanszírozási bevételek</t>
  </si>
  <si>
    <t>(B8)</t>
  </si>
  <si>
    <t xml:space="preserve">Finanszírozási kiadások </t>
  </si>
  <si>
    <t>K9</t>
  </si>
  <si>
    <t>Mindösszesen bevétel:</t>
  </si>
  <si>
    <t>Mindösszesen kiadás:</t>
  </si>
  <si>
    <t>Megnevezés/Intézmény felhasználó megnevezése</t>
  </si>
  <si>
    <t>Mindösszesen</t>
  </si>
  <si>
    <t>Személyi jellegű ráfordítások K1</t>
  </si>
  <si>
    <t>Munkaadókat terhelő járulékok K2</t>
  </si>
  <si>
    <t>Dologi kiadások K3</t>
  </si>
  <si>
    <t>Beruházások K6</t>
  </si>
  <si>
    <t>Mindösszesen kiadás intézmény:</t>
  </si>
  <si>
    <t>Működési célú bevételek B16</t>
  </si>
  <si>
    <t>Működési bevételek B4</t>
  </si>
  <si>
    <t>Előző év költségvetési maradványának igénybevétele B813</t>
  </si>
  <si>
    <t>Központi, irányítószervi támogatás B816</t>
  </si>
  <si>
    <t>Mindösszesen bevétel intézmény:</t>
  </si>
  <si>
    <t>Ellenőrző sor</t>
  </si>
  <si>
    <t>Könyvbeszerzés</t>
  </si>
  <si>
    <t>Folyóírat</t>
  </si>
  <si>
    <t>Egyéb információ hordozó</t>
  </si>
  <si>
    <t>Egyéb szakmai anyag</t>
  </si>
  <si>
    <t>Irodaszer-, nyomtatvány</t>
  </si>
  <si>
    <t>Hajtó- és kenőanyag beszerzés</t>
  </si>
  <si>
    <t>Karbantartási anyag beszerzés</t>
  </si>
  <si>
    <t>Tisztítószer beszerzés</t>
  </si>
  <si>
    <t>Egyéb üzemeltetési anyag</t>
  </si>
  <si>
    <t>Informatikai eszközök, szolgáltatások bérleti díja</t>
  </si>
  <si>
    <t>Informatikai eszközök karbantartási díja</t>
  </si>
  <si>
    <t>Adatátviteli célú eszközök</t>
  </si>
  <si>
    <t>Egyéb különféle informatikai szolgáltatások</t>
  </si>
  <si>
    <t>Nem adatátviteli célú távközlési eszközök díja</t>
  </si>
  <si>
    <t>Egyéb különféle kommunikációs szolgáltatások díjai</t>
  </si>
  <si>
    <t>Villamosenergia</t>
  </si>
  <si>
    <t>Gázenergia</t>
  </si>
  <si>
    <t>Vízdíj</t>
  </si>
  <si>
    <t>Vásárolt közszolgáltatás</t>
  </si>
  <si>
    <t>Számlázott szellemi tevékenység</t>
  </si>
  <si>
    <t>Egyéb szakmai szolgáltatások</t>
  </si>
  <si>
    <t>Biztosítási díjak</t>
  </si>
  <si>
    <t>Bankköltségek</t>
  </si>
  <si>
    <t>Szállítási szolgáltatási díjak</t>
  </si>
  <si>
    <t>Postai díjak</t>
  </si>
  <si>
    <t>Szemétszállítási kiadások</t>
  </si>
  <si>
    <t>Egyéb üzemeltetési szolgáltatások</t>
  </si>
  <si>
    <t>Levonható ÁFA</t>
  </si>
  <si>
    <t>Le nem vonható ÁFA</t>
  </si>
  <si>
    <t>Díjak, egyéb kifizetések</t>
  </si>
  <si>
    <t>Késedelmi kamatok, pótlékok</t>
  </si>
  <si>
    <t>Gyógyszer beszerzés</t>
  </si>
  <si>
    <t>Vegyszerbeszerzés</t>
  </si>
  <si>
    <t>Sorszám</t>
  </si>
  <si>
    <t xml:space="preserve"> Intézmény mindösszesen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</si>
  <si>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</si>
  <si>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</si>
  <si>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</si>
  <si>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</si>
  <si>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</si>
  <si>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Végkielégítés</t>
  </si>
  <si>
    <t>K1105</t>
  </si>
  <si>
    <t>Béren kívüli juttatások</t>
  </si>
  <si>
    <t>Ruházati költségtérítés</t>
  </si>
  <si>
    <t>K1108</t>
  </si>
  <si>
    <t>Közlekedési költségtérítés</t>
  </si>
  <si>
    <t>Egyéb költségtérítések</t>
  </si>
  <si>
    <t>Lakhatási támogatások</t>
  </si>
  <si>
    <t>K1111</t>
  </si>
  <si>
    <t>Szociális támogatások</t>
  </si>
  <si>
    <t>K1112</t>
  </si>
  <si>
    <t>Foglalkoztatottak egyéb személyi juttatásai</t>
  </si>
  <si>
    <t>Foglalkoztatottak személyi juttatásai (=01+...+13)</t>
  </si>
  <si>
    <t>Egyéb külső személyi juttatások-reprezentáció</t>
  </si>
  <si>
    <t>Külső személyi juttatások (=15+16+17)</t>
  </si>
  <si>
    <t>Személyi juttatások (=14+18)</t>
  </si>
  <si>
    <t>Munkaadókat terhelő járulékok és szociális hozzájárulási adó</t>
  </si>
  <si>
    <t>Szakmai anyagok beszerzése</t>
  </si>
  <si>
    <t>Vegyszer beszerzés</t>
  </si>
  <si>
    <t>Egyéb verizókövetési díja</t>
  </si>
  <si>
    <t>Üzemeltetési anyagok beszerzése</t>
  </si>
  <si>
    <t>Irodaszerbeszerzés</t>
  </si>
  <si>
    <t>Munkaruha,védőruha beszerzés</t>
  </si>
  <si>
    <t>Egyéb üzemeltetési anyagok</t>
  </si>
  <si>
    <t>Karbantartási anyag beszerzési</t>
  </si>
  <si>
    <t>számítástechnikai anyag</t>
  </si>
  <si>
    <t>Készletbeszerzés összesen</t>
  </si>
  <si>
    <t>Informatikai szolgáltatások igénybevétele</t>
  </si>
  <si>
    <t>Rendszerkarbantartási díjak</t>
  </si>
  <si>
    <t>Egyéb kommunikációs szolgáltatások</t>
  </si>
  <si>
    <t>Telefon, internet havi díjai</t>
  </si>
  <si>
    <t>Nem adatátviteli célú távközlési díjak</t>
  </si>
  <si>
    <t>Egyéb különféle informatikai szolg.</t>
  </si>
  <si>
    <t>Közüzemi díjak</t>
  </si>
  <si>
    <t>Villamos energia</t>
  </si>
  <si>
    <t>Gáz energia szolgáltatási díjak</t>
  </si>
  <si>
    <t>Víz díj</t>
  </si>
  <si>
    <t>Vásárolt élelmezés</t>
  </si>
  <si>
    <t>Gyermek étkeztetés beszerzés</t>
  </si>
  <si>
    <t>Bérleti és lízing díjak</t>
  </si>
  <si>
    <t>Közvetített szolgáltatások</t>
  </si>
  <si>
    <t>K335</t>
  </si>
  <si>
    <t>Szakmai tevékenységet segítő szolgáltatások</t>
  </si>
  <si>
    <t>Egyéb szolgáltatások</t>
  </si>
  <si>
    <t>Biztosítás, szolgáltatási díjak</t>
  </si>
  <si>
    <t>Postai szolgáltatás</t>
  </si>
  <si>
    <t>Kiküldetések kiadásai</t>
  </si>
  <si>
    <t>Reklám- és propagandakiadások</t>
  </si>
  <si>
    <t>Működési célú előzetesen felszámított általános forgalmi adó</t>
  </si>
  <si>
    <t>Fizetendő általános forgalmi adó</t>
  </si>
  <si>
    <t>Egyéb pénzügyi műveletek kiadásai</t>
  </si>
  <si>
    <t>K354</t>
  </si>
  <si>
    <t>Egyéb dologi kiadások</t>
  </si>
  <si>
    <t>Díjak, egyéb befizetések-fizetési felszólítási díjak</t>
  </si>
  <si>
    <t>Késedelmi kamat</t>
  </si>
  <si>
    <t>Egyéb különféle dologi kiadások</t>
  </si>
  <si>
    <t xml:space="preserve">Különféle befizetések és egyéb dologi kiadások </t>
  </si>
  <si>
    <t xml:space="preserve">II. Dologi kiadások </t>
  </si>
  <si>
    <t>Ingatlanok beszerzése, létesítése</t>
  </si>
  <si>
    <t>Informatikai eszközök beszerzése, létesítése</t>
  </si>
  <si>
    <t>Részesedések beszerzése</t>
  </si>
  <si>
    <t>K65</t>
  </si>
  <si>
    <t>Meglévő részesedések növeléséhez kapcsolódó kiadások</t>
  </si>
  <si>
    <t>K66</t>
  </si>
  <si>
    <t>Informatikai eszközök felújítása</t>
  </si>
  <si>
    <t>K72</t>
  </si>
  <si>
    <t>Egyéb tárgyi eszközök felújítása</t>
  </si>
  <si>
    <t>K73</t>
  </si>
  <si>
    <t>Felújítási célú előzetesen felszámított általános forgalmi adó</t>
  </si>
  <si>
    <t>Felújítások (=76+...+79)</t>
  </si>
  <si>
    <t>KIADÁSOK MINDÖSSZESEN</t>
  </si>
  <si>
    <t>K1-K8</t>
  </si>
  <si>
    <t>Bevételek</t>
  </si>
  <si>
    <t>Intézményi finanszírozás</t>
  </si>
  <si>
    <t>B816</t>
  </si>
  <si>
    <t>BEVÉTELEK MINDÖSSZESEN</t>
  </si>
  <si>
    <t>Egyéb külső személyi juttatások-Megbízási díjak</t>
  </si>
  <si>
    <t>egyéb szakmai anyag beszerzés</t>
  </si>
  <si>
    <t>könybeszerzés</t>
  </si>
  <si>
    <t>folyóirat beszerzés</t>
  </si>
  <si>
    <t>TP link wifi spot</t>
  </si>
  <si>
    <t>Mobil telefon</t>
  </si>
  <si>
    <t>Vezetékes telefon</t>
  </si>
  <si>
    <t xml:space="preserve">Karbantartási szolgáltatások </t>
  </si>
  <si>
    <t>Egyéb szakmai tevékenységek (előadások)</t>
  </si>
  <si>
    <t>munkatárs továbbképzési költsége</t>
  </si>
  <si>
    <t>Országos könyvtári napok játszóház</t>
  </si>
  <si>
    <t>Bankszámla vezetéshez kapcsolódó kiadások</t>
  </si>
  <si>
    <t>Szemét szállítási díj</t>
  </si>
  <si>
    <t>Egyéb üzemeltetési szolgáltatások (rágcsálóírtás, munka- és tűzvédelmi feladatok, tűzoltókészülékek cseréje)</t>
  </si>
  <si>
    <t>Foglalkozás eü. Szolgáltatás díja</t>
  </si>
  <si>
    <t>Díjak, egyéb befizetések-jogdíjak</t>
  </si>
  <si>
    <t>Késedelmi pótlék</t>
  </si>
  <si>
    <t>III. BERUHÁZÁSI KIADÁSOK ÖSSZESEN:</t>
  </si>
  <si>
    <t>IV. FELÚJÍTÁSI KIADÁSOK ÖSSZESEN:</t>
  </si>
  <si>
    <t>KIADÁSOK ÖSSZESEN:</t>
  </si>
  <si>
    <t>Egyéb különféle szolgáltatások bevételei</t>
  </si>
  <si>
    <t>Szolgáltatások ÁFA</t>
  </si>
  <si>
    <t>SZJA 1%</t>
  </si>
  <si>
    <t>ELLENŐRZŐ EGYENLEG:</t>
  </si>
  <si>
    <t>ÓVODA MINDÖSSZESEN</t>
  </si>
  <si>
    <t>Reprezentáció</t>
  </si>
  <si>
    <t>óvodai éves beszámoló csomag</t>
  </si>
  <si>
    <t xml:space="preserve">Egyéb szakmai szolgáltatás (2 fő dajka tanfolyamdíj, konferenciák)     </t>
  </si>
  <si>
    <t>Intézményi étkeztetés</t>
  </si>
  <si>
    <t>Intézményi étkeztetés ÁFA</t>
  </si>
  <si>
    <t>adatok Ft-ban</t>
  </si>
  <si>
    <t>Felújítások K7</t>
  </si>
  <si>
    <t>ebből állami normatíva dologi  kiadások</t>
  </si>
  <si>
    <t>ebből állami normatíva: Személyi jellegű ráfordítások</t>
  </si>
  <si>
    <t>ebből állami normatív támogatás: Dologi és beruházási kiadások</t>
  </si>
  <si>
    <t>ebből állami normatív támogatás: Személyi jellegű ráfordítások</t>
  </si>
  <si>
    <t>Működési célú kapott támogatások B6</t>
  </si>
  <si>
    <t>ebből: állami támogatás</t>
  </si>
  <si>
    <t>ebből: fenntartó önkormányzatok része</t>
  </si>
  <si>
    <t>Szolgáltatási bevételek</t>
  </si>
  <si>
    <t>Költségvetési bevételek</t>
  </si>
  <si>
    <t>Költségvetési kiadások</t>
  </si>
  <si>
    <t>Foglalkoztatottak személyi juttatásai</t>
  </si>
  <si>
    <t>Munkadókat terhelő járulékok és szociális hozzájárulási adó</t>
  </si>
  <si>
    <t>Dologi kiadások</t>
  </si>
  <si>
    <t>Előző évi maradvány igénybevétele</t>
  </si>
  <si>
    <t>B813</t>
  </si>
  <si>
    <t>Előző évi pénzmaradvány felhasználás</t>
  </si>
  <si>
    <t>Megnevezés</t>
  </si>
  <si>
    <t>Önkormányzat</t>
  </si>
  <si>
    <t>Összesen</t>
  </si>
  <si>
    <t>Megelőlegezés</t>
  </si>
  <si>
    <t>Jogcím</t>
  </si>
  <si>
    <t>Egészségügyi feladatok</t>
  </si>
  <si>
    <t>5.</t>
  </si>
  <si>
    <t>6.</t>
  </si>
  <si>
    <t>Elkülönített állami pénzalaptól érkező támogatás</t>
  </si>
  <si>
    <t>1.</t>
  </si>
  <si>
    <t>2.</t>
  </si>
  <si>
    <t>3.</t>
  </si>
  <si>
    <t>4.</t>
  </si>
  <si>
    <t>8.1.</t>
  </si>
  <si>
    <t>Általános tartalék</t>
  </si>
  <si>
    <t>OEP finanszírozás</t>
  </si>
  <si>
    <t>Védőnői finanszírozás</t>
  </si>
  <si>
    <t>Iskolai egészségügyi fin</t>
  </si>
  <si>
    <t>Közfoglalkoztatási támogatás</t>
  </si>
  <si>
    <t>Orvosi feladatellátás</t>
  </si>
  <si>
    <t>Általános kiadások (011130)</t>
  </si>
  <si>
    <t>Szünidei gyermekétkeztetés (104037)</t>
  </si>
  <si>
    <t>Védőnői szolgálat (074031)</t>
  </si>
  <si>
    <t>Házi orvosi alap ellátás (072111)</t>
  </si>
  <si>
    <t>Házi orvosi ügyeleti ellátás (072112)</t>
  </si>
  <si>
    <t>Város- és községgazdálkodási feladatok (066020)</t>
  </si>
  <si>
    <t>Közutak üzemeltetése (045160)</t>
  </si>
  <si>
    <t>Közvilágítás (064010)</t>
  </si>
  <si>
    <t>Köztemető fenntartása, üzemeltetése (013320)</t>
  </si>
  <si>
    <t>Zöldterület kezelés (066010)</t>
  </si>
  <si>
    <t>Jogcímek</t>
  </si>
  <si>
    <t>4.1.1.</t>
  </si>
  <si>
    <t>Települési támogatások szoc.tv.45§ (K48)</t>
  </si>
  <si>
    <t>Bursa Hungarica ösztöndíj</t>
  </si>
  <si>
    <t>Összesen:</t>
  </si>
  <si>
    <t>Átadott pénzeszközök</t>
  </si>
  <si>
    <t>Kistérségi szociális célú feladatok (K506)</t>
  </si>
  <si>
    <t xml:space="preserve">I. SZEMÉLYI JELLEGŰ RÁFORDÍTÁSOK ÉS JÁRULÉKOK MINDÖSSZESEN </t>
  </si>
  <si>
    <t>Óvodai nevelés, szakmai feladatok (COFOG: 091110)</t>
  </si>
  <si>
    <t xml:space="preserve">ebből önkormányzati saját forrás </t>
  </si>
  <si>
    <r>
      <t>Felújítási célú előzetesen felszámított általános forgalmi adó</t>
    </r>
    <r>
      <rPr>
        <b/>
        <sz val="11"/>
        <color indexed="10"/>
        <rFont val="Times New Roman"/>
        <family val="1"/>
        <charset val="238"/>
      </rPr>
      <t xml:space="preserve"> </t>
    </r>
  </si>
  <si>
    <t>Művelődési Ház (COFOG: 082091)</t>
  </si>
  <si>
    <t>Könyvtári állomány gyarapítása (cofog: 082042)</t>
  </si>
  <si>
    <t>Könyvtári szolgáltatások-Könyvtár (cofog: 082044)</t>
  </si>
  <si>
    <t>Közművelődési feladatellátáshoz kapcsolódó gépbeszerzés érdekeltség növelő pályázat</t>
  </si>
  <si>
    <t>összeg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</si>
  <si>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</si>
  <si>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</si>
  <si>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</si>
  <si>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</si>
  <si>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</si>
  <si>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</si>
  <si>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</si>
  <si>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</si>
  <si>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</si>
  <si>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</si>
  <si>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</si>
  <si>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</si>
  <si>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mindösszesen</t>
  </si>
  <si>
    <t>B E V É T E L E K</t>
  </si>
  <si>
    <t>Önkormányzat és intézményei</t>
  </si>
  <si>
    <t>Önkormányzat gazd kör. működési bevételei</t>
  </si>
  <si>
    <t>Önkormányzat gazd.kör. felhalmozási bevételei</t>
  </si>
  <si>
    <t>Költségvetési szervek bevételei</t>
  </si>
  <si>
    <t>Bevételek összesen:</t>
  </si>
  <si>
    <t>K I A D Á S O K</t>
  </si>
  <si>
    <t>Önkormányzat és Intézményei</t>
  </si>
  <si>
    <t>Működési kiadásai</t>
  </si>
  <si>
    <t>Felhalmozási kiadásai</t>
  </si>
  <si>
    <t>Felújítási kiadásai</t>
  </si>
  <si>
    <t>Kiadások összesen:</t>
  </si>
  <si>
    <t>Önkormányzat kiadásai összesen:</t>
  </si>
  <si>
    <t>Önkormányzat bevételei összesen:</t>
  </si>
  <si>
    <t>Bevételek, kiadások egyenlege</t>
  </si>
  <si>
    <t>adatok forintban</t>
  </si>
  <si>
    <t>MEGNEVEZÉS</t>
  </si>
  <si>
    <t>Saját bevétel és adósságot keletkeztető ügyletből eredő fizetési kötelezettség összegei</t>
  </si>
  <si>
    <t>ÖSSZESEN
7=(3+4+5+6)</t>
  </si>
  <si>
    <t>Helyi adók</t>
  </si>
  <si>
    <t>01</t>
  </si>
  <si>
    <t>Osztalék, koncessziós díjak</t>
  </si>
  <si>
    <t>02</t>
  </si>
  <si>
    <t>Díjak, pótlékok, bírságok</t>
  </si>
  <si>
    <t>03</t>
  </si>
  <si>
    <t>Tárgyi eszközök, immateriális javak, vagyoni értékű jog értékesítése, vagyonhasznosításból származó bevétel</t>
  </si>
  <si>
    <t>04</t>
  </si>
  <si>
    <t>Részvények, részesedések értékesítése</t>
  </si>
  <si>
    <t>05</t>
  </si>
  <si>
    <t>Vállalatértékesítésből, privatizációból származó bevételek</t>
  </si>
  <si>
    <t>06</t>
  </si>
  <si>
    <t>Kezességvállalással kapcsolatos megtérülés</t>
  </si>
  <si>
    <t>07</t>
  </si>
  <si>
    <t>Saját bevételek (01+… .+07)</t>
  </si>
  <si>
    <t>08</t>
  </si>
  <si>
    <t xml:space="preserve">Saját bevételek  (08. sor)  50%-a </t>
  </si>
  <si>
    <t>09</t>
  </si>
  <si>
    <t>Előző év(ek)ben keletkezett tárgyévi fizetési kötelezettség (11+…..+17)</t>
  </si>
  <si>
    <t>Felvett, átvállalt hitel és annak tőketartozása</t>
  </si>
  <si>
    <t>Felvett, átvállalt kölcsön és annak tőketartozása</t>
  </si>
  <si>
    <t>Hitelviszonyt megtestesítő értékpapír</t>
  </si>
  <si>
    <t>Adott váltó</t>
  </si>
  <si>
    <t>Pénzügyi lízing</t>
  </si>
  <si>
    <t>Halasztott fizetés</t>
  </si>
  <si>
    <t>Kezességvállalásból eredő fizetési kötelezettség</t>
  </si>
  <si>
    <t>Tárgyévben keletkezett, illetve keletkező, tárgyévet terhelő fizetési kötelezettség (19+…..+25)</t>
  </si>
  <si>
    <t>Fizetési kötelezettség összesen (10+18)</t>
  </si>
  <si>
    <t>Fizetési kötelezettséggel csökkentett saját bevétel (09-26)</t>
  </si>
  <si>
    <t>Kötelezettség jogcíme</t>
  </si>
  <si>
    <t>Kötelezettség vállalás éve</t>
  </si>
  <si>
    <t>Lejárat éve</t>
  </si>
  <si>
    <t>MŰKÖDÉSI CÉLÚ KÖTELEZETTSÉGEK ÖSSZESEN</t>
  </si>
  <si>
    <t>FELHALMOZÁSI CÉLÚ KÖTELEZETTSÉGEK ÖSSZESEN</t>
  </si>
  <si>
    <t>MINDÖSSZESEN:</t>
  </si>
  <si>
    <t>Intézményei</t>
  </si>
  <si>
    <t>ellenőrző sor:</t>
  </si>
  <si>
    <t>Feladat</t>
  </si>
  <si>
    <t>Kötelező</t>
  </si>
  <si>
    <t>Kötelező feladatellátás</t>
  </si>
  <si>
    <t>Kötelező feladat ellátás</t>
  </si>
  <si>
    <t>Dánszentmiklósi Polgármesteri Hivatal</t>
  </si>
  <si>
    <t>Mosolygó Alma Óvoda és egységes Óvoda-Bölcsőde</t>
  </si>
  <si>
    <t>Művelődési és Sportház</t>
  </si>
  <si>
    <t>Dánszentmiklós Község  Önkormányzata adósságot keletkeztető ügyleteiből eredő fizetési kötelezettségeinek bemutatása</t>
  </si>
  <si>
    <t>Dánszentmiklós Község Önkormányzatának több éves kihatással járó kötelezettségei</t>
  </si>
  <si>
    <t>mezőgazdasági földbérleti díj</t>
  </si>
  <si>
    <t>sírhely díj</t>
  </si>
  <si>
    <t>lakáscélú bérleti díjak</t>
  </si>
  <si>
    <t>nem lakás célú ingatlanok bérleti díja</t>
  </si>
  <si>
    <t>óvodai étkezési térítési díjak</t>
  </si>
  <si>
    <t>iskolai étkezési térítési díjak</t>
  </si>
  <si>
    <t>víziközmű és szennyvíz bérleti díj bevétele (kötött felhasználású)</t>
  </si>
  <si>
    <t>B355</t>
  </si>
  <si>
    <t>Alapfokozatú végzettségű mester ped. kieg támogatása</t>
  </si>
  <si>
    <t>Céljuttatás, projekt prémium</t>
  </si>
  <si>
    <t>Fizikoterápiás szolgáltatás (072450)</t>
  </si>
  <si>
    <t>Egészségügyi laboratóriumi szolgáltatás (072420)</t>
  </si>
  <si>
    <t xml:space="preserve"> létfenntartási gondok enyhítése céljából rendkívüli települési támogatás iránti kérelmekről,107060)</t>
  </si>
  <si>
    <t>lakhatás támogatása iránti kérelmek (107060)</t>
  </si>
  <si>
    <t>Babaköszöntő ajándék</t>
  </si>
  <si>
    <t>Humánszolgáltató Társulás</t>
  </si>
  <si>
    <t>Albertirsai Segítőház</t>
  </si>
  <si>
    <t>Államháztartáson kívüli működési célú pénzeszköz átadás (K512)</t>
  </si>
  <si>
    <t>Államháztartáson belüli működési célú pénzeszköz átadás (K506)</t>
  </si>
  <si>
    <t xml:space="preserve">egyéb inf.hord.szakmai anyag beszerzés </t>
  </si>
  <si>
    <t>Karbantartási, kisjavítási szolgáltatások</t>
  </si>
  <si>
    <t xml:space="preserve">Egyéb szakmai szolgáltatás </t>
  </si>
  <si>
    <t>Egyéb üzemeltetési szolgáltatások (kéményseprés,rovarirtás, fogl.eü, egyéb üz.fennt.kiadási szolg., fiókbérlet)</t>
  </si>
  <si>
    <t>Hivatal épületének felújítása (falvédő festés)</t>
  </si>
  <si>
    <t>Ajtó csere (2 db)</t>
  </si>
  <si>
    <t>Előtető, nagykapu felújítása</t>
  </si>
  <si>
    <t>egyéb szakmai anyag beszerzés (fejlesztő játékok)</t>
  </si>
  <si>
    <t>Óvodai nevelés, működési feladatok (091140)</t>
  </si>
  <si>
    <t>ELMIB részvény</t>
  </si>
  <si>
    <r>
      <t>Beruházási célú előzetesen felszámított általános forgalmi adó</t>
    </r>
    <r>
      <rPr>
        <b/>
        <sz val="11"/>
        <color indexed="10"/>
        <rFont val="Times New Roman"/>
        <family val="1"/>
        <charset val="238"/>
      </rPr>
      <t xml:space="preserve"> </t>
    </r>
  </si>
  <si>
    <t xml:space="preserve">Egyéb tárgyi eszközök felújítása </t>
  </si>
  <si>
    <t>Szikla szoftver követési és adatbázis követési díj</t>
  </si>
  <si>
    <t>11/2014 (XI.28.) számú önkormányzati rendelet a magánszemélyek kommunális adójáról szerinti mentesség kedvezmény</t>
  </si>
  <si>
    <t>3.§(1)bek.a)</t>
  </si>
  <si>
    <t>3.§(1) bek.b)</t>
  </si>
  <si>
    <t>Intézmény /szakfeladat/</t>
  </si>
  <si>
    <t xml:space="preserve">engedélyezett létszám összesen </t>
  </si>
  <si>
    <t>Engedélyezett létszám</t>
  </si>
  <si>
    <t>szakmai létszám</t>
  </si>
  <si>
    <t>egyéb létszám</t>
  </si>
  <si>
    <t>közfoglal</t>
  </si>
  <si>
    <t>teljes munkai.</t>
  </si>
  <si>
    <t>választott köztiszt.</t>
  </si>
  <si>
    <t>részmunkaidős</t>
  </si>
  <si>
    <t>teljes munkaidős</t>
  </si>
  <si>
    <t>részmunkaid.</t>
  </si>
  <si>
    <t xml:space="preserve">Polgármesteri Hivatal </t>
  </si>
  <si>
    <t xml:space="preserve">Önkormányzat </t>
  </si>
  <si>
    <t xml:space="preserve">Mosolygó Alma Egységes Óvoda-Bölcsőde </t>
  </si>
  <si>
    <t xml:space="preserve">közfoglalkoztatás </t>
  </si>
  <si>
    <t>Egyéb önkormányzati rendeletben szabályzott támogatás (K506)</t>
  </si>
  <si>
    <t>2.1</t>
  </si>
  <si>
    <t>2.2</t>
  </si>
  <si>
    <t>Polgármesteri illetmény támogatása</t>
  </si>
  <si>
    <t>Alapfokozatú végzettségű PED II. besorolás kiegészítése</t>
  </si>
  <si>
    <t>Bölcsődei üzemeltetési ellátás</t>
  </si>
  <si>
    <t>1210 Ft/fő</t>
  </si>
  <si>
    <t>fizikoterápiás szolgáltatás díja-bérleti díj</t>
  </si>
  <si>
    <t>ebből: egyéb bírság , pótlék</t>
  </si>
  <si>
    <t>ebből: talajterhelési díj bevétele</t>
  </si>
  <si>
    <t>Elmib részvények beszerzése 2018. évi része</t>
  </si>
  <si>
    <t>Bölcsődei feladatok</t>
  </si>
  <si>
    <t>Eszköz beszerzés lista alapján</t>
  </si>
  <si>
    <t>Könyvtár</t>
  </si>
  <si>
    <t>Dánszentmiklóson működő Hivatal (011130 COFOG)</t>
  </si>
  <si>
    <t>Egyéb üzemeltetési szolgáltatások (rágcsálóírtás, munka- és tűzvédelmi feladatok, tűzoltókészülékek cseréje, foglalkozás eü.vizsgálat)</t>
  </si>
  <si>
    <t>Logopédiai szolgáltatás, pszichológiai, orvosi viszgálata</t>
  </si>
  <si>
    <t>Rovat megnevezése/Feladat ellátás</t>
  </si>
  <si>
    <t>Személyi jellegű ráfordítás K1</t>
  </si>
  <si>
    <t>Járulékok K2</t>
  </si>
  <si>
    <t>Települési támogatások K4</t>
  </si>
  <si>
    <t>Átadott pénzeszközök K5</t>
  </si>
  <si>
    <t>Tartalék K513</t>
  </si>
  <si>
    <t>Megelőlegezés K914</t>
  </si>
  <si>
    <t>Intézményfinanszírozás K915</t>
  </si>
  <si>
    <t>Általános kiadás</t>
  </si>
  <si>
    <t>Település üzemeltetés</t>
  </si>
  <si>
    <t>Étkeztetési feladatok</t>
  </si>
  <si>
    <t>Közfoglalkoztatási t ámogatás</t>
  </si>
  <si>
    <t>Település támogatás</t>
  </si>
  <si>
    <t>Felújítások</t>
  </si>
  <si>
    <t>Maradvány, intézményi finanszírozás, megelőlegezés</t>
  </si>
  <si>
    <t xml:space="preserve">Készenléti, ügyeleti, helyettesítési díj, túlóra, túlszolgálat </t>
  </si>
  <si>
    <t>MINDÖSSZESEN</t>
  </si>
  <si>
    <t>Általános kiadások mindösszesen</t>
  </si>
  <si>
    <t>Rovat megnevezése és rovat kódja</t>
  </si>
  <si>
    <t>Mindösszesen kiadás</t>
  </si>
  <si>
    <t>Gyermekétkeztetés (096015)</t>
  </si>
  <si>
    <t>Banki egyenleg</t>
  </si>
  <si>
    <t>Főszámlán megelőlegezés visszafizetése</t>
  </si>
  <si>
    <t>Mindösszesen kötött felhasználású pénzeszköz</t>
  </si>
  <si>
    <t>Főszámla</t>
  </si>
  <si>
    <t>Közfoglalkoztatási számla</t>
  </si>
  <si>
    <t>Ebből kötelezettséggel terhelt összeg</t>
  </si>
  <si>
    <t>K513</t>
  </si>
  <si>
    <t>Felhalmozási célú nyújott kölcsönök</t>
  </si>
  <si>
    <t>Tartalék általános</t>
  </si>
  <si>
    <t>Irodai bútorzat beszerzés, Klímaberendezés szerelése</t>
  </si>
  <si>
    <t>Felhalmozási  bevételek mindösszesen</t>
  </si>
  <si>
    <t>B5</t>
  </si>
  <si>
    <t>Ingatlan értékesítés</t>
  </si>
  <si>
    <t>B501</t>
  </si>
  <si>
    <t>Működési -felhalmozási  bevételek mindösszesen</t>
  </si>
  <si>
    <t>B4 - B5</t>
  </si>
  <si>
    <t>2020. évi eredeti előirányzat</t>
  </si>
  <si>
    <t>Kiemelt Önkorm. rendezvények (cofog: 016080)</t>
  </si>
  <si>
    <t>Informatikai eszközök szolgáltat. bérleti díja</t>
  </si>
  <si>
    <t xml:space="preserve">Szemétszállítás </t>
  </si>
  <si>
    <t xml:space="preserve">Kiküldetések kiadása </t>
  </si>
  <si>
    <t xml:space="preserve">Reklám- és propaganda ktg. </t>
  </si>
  <si>
    <t xml:space="preserve">Kiküldetések és reklám kiadások </t>
  </si>
  <si>
    <t xml:space="preserve">Működési célú előzetesen felszámított  ÁFA </t>
  </si>
  <si>
    <t xml:space="preserve">Sport </t>
  </si>
  <si>
    <t>Informatikai szolgáltatások</t>
  </si>
  <si>
    <t xml:space="preserve">Munkaadókat terhelő járulékok és szochó </t>
  </si>
  <si>
    <t>Egyéb klf. kommunikációs szolgáltatások díjai</t>
  </si>
  <si>
    <t>Egyéb klf. Informat. Szolg.</t>
  </si>
  <si>
    <t>Biztosítási díj:busz ,traktor</t>
  </si>
  <si>
    <t>Egyéb működési bevételek</t>
  </si>
  <si>
    <t>B411</t>
  </si>
  <si>
    <t>B75</t>
  </si>
  <si>
    <t xml:space="preserve">Egyéb felhalmozási célú átvett pénzeszközök </t>
  </si>
  <si>
    <t>B4 - B7</t>
  </si>
  <si>
    <t>2905 fő</t>
  </si>
  <si>
    <t>II.4.</t>
  </si>
  <si>
    <t>II.4.b.(1)</t>
  </si>
  <si>
    <t>II.4.a.(2)</t>
  </si>
  <si>
    <t>II.4.a.(1)</t>
  </si>
  <si>
    <t xml:space="preserve">Téli fesztivál és egyéb rendezvények </t>
  </si>
  <si>
    <t>Munkadókat terhelő járulékok, szoch. adó</t>
  </si>
  <si>
    <t xml:space="preserve">Ellátottak pénzbeli juttatásai  </t>
  </si>
  <si>
    <t>karácsonyi támogatás (107060)</t>
  </si>
  <si>
    <t>Törvény szerinti illetmények</t>
  </si>
  <si>
    <t>Egyéb informatikai szolg.kiadás (webix)</t>
  </si>
  <si>
    <t>Átadott pénzeszközök összesen</t>
  </si>
  <si>
    <t xml:space="preserve">Útfelújítás ÁFA </t>
  </si>
  <si>
    <t>Jóteljesítési garancia</t>
  </si>
  <si>
    <t>Dánszentmiklós Község Önkormányzatának 2021. évi közhatalmi bevételei</t>
  </si>
  <si>
    <t>2020. évi teljesítés</t>
  </si>
  <si>
    <t>2021. évi eredeti előirányzat</t>
  </si>
  <si>
    <t>Dánszentmiklós Község Önkormányzatát megillető 2021. évi normatíva és államháztartáson belüli átvett pénzeszközök</t>
  </si>
  <si>
    <t>3 fő</t>
  </si>
  <si>
    <t>Dánszentmiklósi Polgármesteri  Hivatal 2021. évi költségvetési táblája</t>
  </si>
  <si>
    <t>2020. évi tény adatok</t>
  </si>
  <si>
    <t>2020. évi tény</t>
  </si>
  <si>
    <t>2021. évi eredeti</t>
  </si>
  <si>
    <t xml:space="preserve">2021. évi </t>
  </si>
  <si>
    <t>Dánszentmiklós Község Önkormányzat 2021.évi átadott pénzeszközök jogcímenként</t>
  </si>
  <si>
    <t>Művelődési és Sportház 2021. évi költségvetési táblája</t>
  </si>
  <si>
    <t>2020.évi teljesítés</t>
  </si>
  <si>
    <t>Mosolygó Alma Óvoda és egységes Óvod- Bölcsőde 2021. évi költségvetési táblája</t>
  </si>
  <si>
    <t>tárgyi eszk.beszerzése</t>
  </si>
  <si>
    <t>Udvari játék beszerzése</t>
  </si>
  <si>
    <t>Dánszentmiklós Község Önkormányzatának beruházási és felújításai tábla 2021. év</t>
  </si>
  <si>
    <t>Területrendezési terv módosítás</t>
  </si>
  <si>
    <t xml:space="preserve">Területrendezési terv módosítás </t>
  </si>
  <si>
    <t>Temető program</t>
  </si>
  <si>
    <t xml:space="preserve">2020. évi teljesítés </t>
  </si>
  <si>
    <t>2021. évi eredi előirányzat</t>
  </si>
  <si>
    <t>Útfelújítás pályázat szeritn</t>
  </si>
  <si>
    <t>Dánszentmiklós község Önkormányzatának 2021. évi település üzemeltetési feladatainak kiadásai</t>
  </si>
  <si>
    <t>Dánszentmiklós Község Önkormányzatának 2021. évi működési és felhalmozási bevételei</t>
  </si>
  <si>
    <t>Dánszentmiklós KÖZSÉG ÖNKORMÁNYZAT KIADÁSAI Egészségügyi feladat ellátás 2021. év</t>
  </si>
  <si>
    <t>Dánszentmiklós KÖZSÉG ÖNKORMÁNYZAT KIADÁSAI közfoglalkoztatási feladat ellátás 2021. év</t>
  </si>
  <si>
    <t>Közfoglalkoztatási program (041232)</t>
  </si>
  <si>
    <t>továbbszámlázott szolg.</t>
  </si>
  <si>
    <t>Dánszentmiklós  KÖZSÉG ÖNKORMÁNYZAT ÁLTALÁNOS KIADÁSAI 011130 COFOG 2021. év</t>
  </si>
  <si>
    <t>Dánszentmiklós KÖZSÉG ÖNKORMÁNYZAT KIADÁSAI Gyermekétkeztetési feladatok 2021. év</t>
  </si>
  <si>
    <t xml:space="preserve"> 2020. évi teljesítés</t>
  </si>
  <si>
    <t>2021. évi  eredeti előirányzat</t>
  </si>
  <si>
    <t>Dánszentmiklós Község Önkormányzat 2021.évi ellátottak pénzbeli juttatásai kiadási előirányzatai jogcímenként</t>
  </si>
  <si>
    <t>elhunyt személy köztemetése  (107060)</t>
  </si>
  <si>
    <t>Bölcsöde finanszírozása</t>
  </si>
  <si>
    <t>Szociális lakás fenntartási ktg.</t>
  </si>
  <si>
    <t>Muskátli utacában út felújítás</t>
  </si>
  <si>
    <t>Dánszentmiklós Község Önkormányzatának és fenntartása alatt működő intézményeknek 2021. évi engedélyezett létszámkerete</t>
  </si>
  <si>
    <t>2021.január 01</t>
  </si>
  <si>
    <t>2021. január 01</t>
  </si>
  <si>
    <t>Dánszentmiklós Község Önkormányzatának 2021. évben nyújtandó közvetett támogatásai</t>
  </si>
  <si>
    <t>Dánszentmiklós Község Önkormányzatának 2021. évi előirányzat felhasználási és likviditási terve</t>
  </si>
  <si>
    <t>Vincent- belső ellenőrzés</t>
  </si>
  <si>
    <t xml:space="preserve">Egészségház parkolóhoz </t>
  </si>
  <si>
    <t>Víztorny pályázat+ önerő</t>
  </si>
  <si>
    <t>Parkosítás</t>
  </si>
  <si>
    <t>szemétszedés</t>
  </si>
  <si>
    <t>Székelykapu karbantart.anyag</t>
  </si>
  <si>
    <t>Játszótér karb.anyag</t>
  </si>
  <si>
    <t>Karbant, anyag besz.Önk.</t>
  </si>
  <si>
    <t>Dánszentmiklós Község Önkormányzata fenntartása alatt működő költségvetési szervek összesített 2021. évi költségvetési tábla</t>
  </si>
  <si>
    <t>Dánszentmiklós Község Önkormányzatának Tartalék táblázata 2021. évre</t>
  </si>
  <si>
    <t>Dánszentmiklós Község Önkormányzat 2021. évi szabad maradvány</t>
  </si>
  <si>
    <t>Útfelújítási támogatás</t>
  </si>
  <si>
    <t>Víztorny támogatás</t>
  </si>
  <si>
    <t>Ügyvédi munkadíj</t>
  </si>
  <si>
    <t xml:space="preserve">Dánszentmiklós  Község Önkormányzatának 2021. évi összesített intézményi szintű mérlege </t>
  </si>
  <si>
    <t>2020. évi előirányzat</t>
  </si>
  <si>
    <t xml:space="preserve">Dánszentmiklós Község Önkormányzatának 2021. évi összesített intézményi szintű mérlege </t>
  </si>
  <si>
    <t xml:space="preserve">2021. évi eredeti </t>
  </si>
  <si>
    <t xml:space="preserve">Felhalm. célú támogatások államháztartáson belülről </t>
  </si>
  <si>
    <t>Dánszentmiklós Község Önkormányzatának 2021. évi feladat ellátásonkénti kiadási összesítője</t>
  </si>
  <si>
    <t>B21</t>
  </si>
  <si>
    <t>Felhalmoozási célú támogatások államháztartáson belül</t>
  </si>
  <si>
    <t xml:space="preserve">Felhalmoozási célú önkormányzati támogatások </t>
  </si>
  <si>
    <t>Értékpapír vásárlás</t>
  </si>
  <si>
    <t xml:space="preserve">Hitel felvétele beruházáshoz </t>
  </si>
  <si>
    <t>Szolgáltatás miatti kiadás</t>
  </si>
  <si>
    <t>bölcsöde orvosi szolg.</t>
  </si>
  <si>
    <t>Tavalyi évet terhelő elmaradt számlázás</t>
  </si>
  <si>
    <t>Civil szervezetek támogatása pályázat útján (polgármesteri hatáskör) Kutyamentsvár Alap.</t>
  </si>
  <si>
    <t>Menzaprogram követés</t>
  </si>
  <si>
    <t>Ekf. Inform.szolg.: Weboldal</t>
  </si>
  <si>
    <t>8. melléklet az 1/2021. (III.08.) önkormányzati rendelethez</t>
  </si>
  <si>
    <t>5. melléklet az 1/2021. (III.08.) önkormányzati rendelethez</t>
  </si>
  <si>
    <t>6. melléklet az 1/2021. (III.08.) önkormányzati rendelethez</t>
  </si>
  <si>
    <t>1. melléklet az 1/2021. (III.08.) önkormányzati rendelethez</t>
  </si>
  <si>
    <t>2. melléklet az 1/2021. (III.08.) önkormányzati rendelethez</t>
  </si>
  <si>
    <t>3. melléklet az 1/2021. (III.08.) önkormányzati rendelethez</t>
  </si>
  <si>
    <t>4. melléklet az 1/2021. (III.08.) önkormányzati rendelethez</t>
  </si>
  <si>
    <t>7. melléklet az 1/2021. (III.08.) önkormányzati rendelethez</t>
  </si>
  <si>
    <t>9. melléklet az 1/2021. (III.08.) önkormányzati rendelethez</t>
  </si>
  <si>
    <t>10. melléklet az 1/2021. (III.08.) önkormányzati rendelethez</t>
  </si>
  <si>
    <t>11. melléklet az 1/2021. (III.08.) önkormányzati rendelethez</t>
  </si>
  <si>
    <t>13. melléklet az 1/2021. (III.08.) önkormányzati rendelethez</t>
  </si>
  <si>
    <t>12. melléklet az 1/2021. (III.08.) önkormányzati rendelethez</t>
  </si>
  <si>
    <t>14. melléklet az 1/2021. (III.08.) önkormányzati rendelethez</t>
  </si>
  <si>
    <t>15. melléklet az 1/2021. (III.08.) önkormányzati rendelethez</t>
  </si>
  <si>
    <t>16. melléklet az 1/2021. (III.08.) önkormányzati rendelethez</t>
  </si>
  <si>
    <t>17. melléklet az 1/2021. (III.08.) önkormányzati rendelethez</t>
  </si>
  <si>
    <t>Külső adatvédelmi szolgáltatás</t>
  </si>
  <si>
    <t>18. melléklet az 1/2021. (III.08.) önkormányzati rendelethez</t>
  </si>
  <si>
    <t>19. melléklet az 1/2021. (III.08.) önkormányzati rendelethez</t>
  </si>
  <si>
    <t>Pénzügyi,szolg.díj./Bankköltség/</t>
  </si>
  <si>
    <t>20. melléklet az 1/2021. (III.08.) önkormányzati rendelethez</t>
  </si>
  <si>
    <t>21. melléklet az 1/2021. (III.08.) önkormányzati rendelethez</t>
  </si>
  <si>
    <t>22. melléklet az 1/2021. (III.08.) önkormányzati rendelethez</t>
  </si>
  <si>
    <t>23. melléklet az 1/2021. (III.08.) önkormányzati rendelethez</t>
  </si>
  <si>
    <t>24. melléklet az 1/2021. (III.08.) önkormányzati rendelethez</t>
  </si>
  <si>
    <t>Eredeti előirányzat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</si>
</sst>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* #,##0\ &quot;Ft&quot;_-;\-* #,##0\ &quot;Ft&quot;_-;_-* &quot;-&quot;\ &quot;Ft&quot;_-;_-@_-"/>
    <numFmt numFmtId="41" formatCode="_-* #,##0\ _F_t_-;\-* #,##0\ _F_t_-;_-* &quot;-&quot;\ _F_t_-;_-@_-"/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.00\ &quot;HUF&quot;_-;\-* #,##0.00\ &quot;HUF&quot;_-;_-* &quot;-&quot;??\ &quot;HUF&quot;_-;_-@_-"/>
    <numFmt numFmtId="165" formatCode="_-* #,##0.00\ _H_U_F_-;\-* #,##0.00\ _H_U_F_-;_-* &quot;-&quot;??\ _H_U_F_-;_-@_-"/>
    <numFmt numFmtId="166" formatCode="_-* #,##0\ &quot;HUF&quot;_-;\-* #,##0\ &quot;HUF&quot;_-;_-* &quot;-&quot;??\ &quot;HUF&quot;_-;_-@_-"/>
    <numFmt numFmtId="167" formatCode="_-* #,##0\ [$HUF-40E]_-;\-* #,##0\ [$HUF-40E]_-;_-* &quot;-&quot;??\ [$HUF-40E]_-;_-@_-"/>
    <numFmt numFmtId="168" formatCode="#,##0\ [$Ft-40E];[Red]\-#,##0\ [$Ft-40E]"/>
    <numFmt numFmtId="169" formatCode="_-* #,##0\ &quot;Ft&quot;_-;\-* #,##0\ &quot;Ft&quot;_-;_-* &quot;-&quot;??\ &quot;Ft&quot;_-;_-@_-"/>
    <numFmt numFmtId="170" formatCode="_-* #,##0\ _F_t_-;\-* #,##0\ _F_t_-;_-* &quot;-&quot;??\ _F_t_-;_-@_-"/>
    <numFmt numFmtId="171" formatCode="#,##0_ ;\-#,##0\ "/>
    <numFmt numFmtId="172" formatCode="_-* #,##0\ [$Ft-40E]_-;\-* #,##0\ [$Ft-40E]_-;_-* &quot;-&quot;??\ [$Ft-40E]_-;_-@_-"/>
    <numFmt numFmtId="173" formatCode="#,##0.0_ ;\-#,##0.0\ "/>
    <numFmt numFmtId="174" formatCode="#,##0\ &quot;Ft&quot;"/>
  </numFmts>
  <fonts count="10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3.2"/>
      <color theme="1"/>
      <name val="Arial ce"/>
    </font>
    <font>
      <sz val="10"/>
      <color theme="1"/>
      <name val="Arial"/>
      <family val="2"/>
      <charset val="238"/>
    </font>
    <font>
      <sz val="11"/>
      <color rgb="FF000000"/>
      <name val="Arial ce"/>
    </font>
    <font>
      <sz val="9.9"/>
      <color rgb="FF000000"/>
      <name val="Arial ce"/>
    </font>
    <font>
      <b/>
      <sz val="7.7"/>
      <color rgb="FF000000"/>
      <name val="Arial ce"/>
    </font>
    <font>
      <i/>
      <sz val="9.9"/>
      <color rgb="FF000000"/>
      <name val="Arial"/>
      <family val="2"/>
      <charset val="238"/>
    </font>
    <font>
      <sz val="7.7"/>
      <color rgb="FF000000"/>
      <name val="Arial"/>
      <family val="2"/>
      <charset val="238"/>
    </font>
    <font>
      <i/>
      <sz val="9.9"/>
      <color rgb="FF000000"/>
      <name val="Arial ce"/>
    </font>
    <font>
      <b/>
      <sz val="9.9"/>
      <color rgb="FF000000"/>
      <name val="Arial ce"/>
    </font>
    <font>
      <b/>
      <sz val="13.2"/>
      <color theme="1"/>
      <name val="Arial ce"/>
    </font>
    <font>
      <sz val="12"/>
      <name val="Arial"/>
      <family val="2"/>
      <charset val="238"/>
    </font>
    <font>
      <sz val="9"/>
      <color rgb="FF000000"/>
      <name val="Arial CE"/>
      <family val="2"/>
      <charset val="238"/>
    </font>
    <font>
      <i/>
      <sz val="9"/>
      <color rgb="FF000000"/>
      <name val="Arial CE"/>
      <family val="2"/>
      <charset val="238"/>
    </font>
    <font>
      <b/>
      <sz val="9"/>
      <color rgb="FF000000"/>
      <name val="Arial CE"/>
      <family val="2"/>
      <charset val="238"/>
    </font>
    <font>
      <sz val="9"/>
      <color rgb="FF000000"/>
      <name val="Arial CE"/>
      <charset val="238"/>
    </font>
    <font>
      <b/>
      <sz val="9"/>
      <color rgb="FF000000"/>
      <name val="Arial CE"/>
      <charset val="238"/>
    </font>
    <font>
      <b/>
      <sz val="9"/>
      <color rgb="FF993300"/>
      <name val="Arial CE"/>
      <charset val="238"/>
    </font>
    <font>
      <b/>
      <sz val="9"/>
      <color rgb="FF0000FF"/>
      <name val="Arial CE"/>
      <charset val="238"/>
    </font>
    <font>
      <b/>
      <sz val="11"/>
      <color theme="1"/>
      <name val="Arial ce"/>
      <charset val="238"/>
    </font>
    <font>
      <b/>
      <sz val="9.9"/>
      <color theme="1"/>
      <name val="Arial ce"/>
      <charset val="238"/>
    </font>
    <font>
      <b/>
      <sz val="14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name val="Bookman Old Style"/>
      <family val="1"/>
      <charset val="238"/>
    </font>
    <font>
      <sz val="11"/>
      <name val="Bookman Old Style"/>
      <family val="1"/>
      <charset val="238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sz val="20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6"/>
      <color rgb="FFFF0000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Bookman Old Style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2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name val="Bookman Old Style"/>
      <family val="1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0"/>
      <name val="Bookman Old Style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Bookman Old Style"/>
      <family val="1"/>
      <charset val="238"/>
    </font>
    <font>
      <sz val="12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b/>
      <sz val="11"/>
      <color rgb="FF000000"/>
      <name val="Bookman Old Style"/>
      <family val="1"/>
      <charset val="238"/>
    </font>
    <font>
      <b/>
      <sz val="8.8000000000000007"/>
      <color theme="1"/>
      <name val="Arial ce"/>
    </font>
    <font>
      <sz val="9.9"/>
      <color theme="1"/>
      <name val="Arial ce"/>
    </font>
    <font>
      <sz val="9.9"/>
      <color theme="1"/>
      <name val="Arial"/>
      <family val="2"/>
      <charset val="238"/>
    </font>
    <font>
      <b/>
      <sz val="8.8000000000000007"/>
      <color rgb="FFFF0000"/>
      <name val="Arial ce"/>
    </font>
    <font>
      <sz val="8.8000000000000007"/>
      <color theme="1"/>
      <name val="Arial ce"/>
    </font>
    <font>
      <b/>
      <i/>
      <sz val="10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0"/>
      <name val="Arial CE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Bookman Old Style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4"/>
      <color rgb="FF000000"/>
      <name val="Calibri"/>
      <family val="2"/>
      <charset val="238"/>
    </font>
    <font>
      <sz val="14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42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99CC99"/>
        <bgColor indexed="64"/>
      </patternFill>
    </fill>
    <fill>
      <patternFill patternType="solid">
        <fgColor rgb="FFCFE7F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CCCC"/>
        <bgColor rgb="FFFFCC99"/>
      </patternFill>
    </fill>
    <fill>
      <patternFill patternType="solid">
        <fgColor rgb="FF000000"/>
        <bgColor rgb="FF003300"/>
      </patternFill>
    </fill>
    <fill>
      <patternFill patternType="solid">
        <fgColor theme="0"/>
        <bgColor rgb="FFFFCC99"/>
      </patternFill>
    </fill>
    <fill>
      <patternFill patternType="solid">
        <fgColor theme="0"/>
        <bgColor rgb="FF003300"/>
      </patternFill>
    </fill>
    <fill>
      <patternFill patternType="solid">
        <fgColor rgb="FFFF99CC"/>
        <bgColor rgb="FFFF8080"/>
      </patternFill>
    </fill>
    <fill>
      <patternFill patternType="solid">
        <fgColor rgb="FFCFE7F5"/>
        <bgColor rgb="FFE6E6FF"/>
      </patternFill>
    </fill>
    <fill>
      <patternFill patternType="solid">
        <fgColor theme="0"/>
        <bgColor rgb="FFFF808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ED19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CB2D9"/>
        <bgColor indexed="64"/>
      </patternFill>
    </fill>
    <fill>
      <patternFill patternType="solid">
        <fgColor indexed="2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FF"/>
        <bgColor indexed="64"/>
      </patternFill>
    </fill>
    <fill>
      <patternFill patternType="gray125">
        <fgColor indexed="8"/>
      </patternFill>
    </fill>
    <fill>
      <patternFill patternType="solid">
        <fgColor indexed="65"/>
        <bgColor indexed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E6E6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rgb="FF000000"/>
      </bottom>
      <diagonal/>
    </border>
    <border>
      <left style="medium">
        <color rgb="FFCCCCCC"/>
      </left>
      <right style="thin">
        <color indexed="64"/>
      </right>
      <top style="double">
        <color indexed="64"/>
      </top>
      <bottom style="dotted">
        <color rgb="FF000000"/>
      </bottom>
      <diagonal/>
    </border>
    <border>
      <left style="medium">
        <color rgb="FFCCCCCC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CCCCCC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CCCCCC"/>
      </left>
      <right style="dotted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1" fillId="0" borderId="0"/>
    <xf numFmtId="0" fontId="8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3">
    <xf numFmtId="0" fontId="0" fillId="0" borderId="0" xfId="0"/>
    <xf numFmtId="0" fontId="15" fillId="0" borderId="2" xfId="3" applyFont="1" applyBorder="1" applyAlignment="1">
      <alignment horizontal="right"/>
    </xf>
    <xf numFmtId="0" fontId="15" fillId="0" borderId="2" xfId="3" applyFont="1" applyBorder="1" applyAlignment="1">
      <alignment horizontal="center"/>
    </xf>
    <xf numFmtId="168" fontId="15" fillId="0" borderId="2" xfId="3" applyNumberFormat="1" applyFont="1" applyBorder="1"/>
    <xf numFmtId="0" fontId="15" fillId="0" borderId="2" xfId="3" applyFont="1" applyBorder="1"/>
    <xf numFmtId="0" fontId="16" fillId="7" borderId="2" xfId="3" applyFont="1" applyFill="1" applyBorder="1" applyAlignment="1">
      <alignment horizontal="left" vertical="center" wrapText="1"/>
    </xf>
    <xf numFmtId="0" fontId="16" fillId="8" borderId="2" xfId="3" applyFont="1" applyFill="1" applyBorder="1" applyAlignment="1">
      <alignment horizontal="left" vertical="center" wrapText="1"/>
    </xf>
    <xf numFmtId="0" fontId="16" fillId="7" borderId="2" xfId="3" applyFont="1" applyFill="1" applyBorder="1" applyAlignment="1">
      <alignment horizontal="left" vertical="center"/>
    </xf>
    <xf numFmtId="0" fontId="16" fillId="8" borderId="2" xfId="3" applyFont="1" applyFill="1" applyBorder="1" applyAlignment="1">
      <alignment horizontal="left" vertical="center"/>
    </xf>
    <xf numFmtId="0" fontId="20" fillId="8" borderId="2" xfId="3" applyFont="1" applyFill="1" applyBorder="1"/>
    <xf numFmtId="0" fontId="16" fillId="13" borderId="2" xfId="3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5" fillId="0" borderId="3" xfId="3" applyFont="1" applyBorder="1" applyAlignment="1">
      <alignment horizontal="right"/>
    </xf>
    <xf numFmtId="0" fontId="15" fillId="0" borderId="3" xfId="3" applyFont="1" applyBorder="1" applyAlignment="1">
      <alignment horizontal="center"/>
    </xf>
    <xf numFmtId="168" fontId="15" fillId="0" borderId="3" xfId="3" applyNumberFormat="1" applyFont="1" applyBorder="1"/>
    <xf numFmtId="0" fontId="4" fillId="2" borderId="2" xfId="0" applyFont="1" applyFill="1" applyBorder="1" applyAlignment="1">
      <alignment wrapText="1"/>
    </xf>
    <xf numFmtId="0" fontId="22" fillId="15" borderId="2" xfId="0" applyFont="1" applyFill="1" applyBorder="1" applyAlignment="1">
      <alignment horizontal="center"/>
    </xf>
    <xf numFmtId="166" fontId="0" fillId="0" borderId="0" xfId="2" applyNumberFormat="1" applyFont="1"/>
    <xf numFmtId="0" fontId="27" fillId="0" borderId="2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right"/>
    </xf>
    <xf numFmtId="0" fontId="28" fillId="17" borderId="2" xfId="0" applyFont="1" applyFill="1" applyBorder="1" applyAlignment="1">
      <alignment horizontal="right"/>
    </xf>
    <xf numFmtId="0" fontId="25" fillId="0" borderId="2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right"/>
    </xf>
    <xf numFmtId="0" fontId="27" fillId="17" borderId="2" xfId="0" applyFont="1" applyFill="1" applyBorder="1" applyAlignment="1">
      <alignment horizontal="left" vertical="top" wrapText="1"/>
    </xf>
    <xf numFmtId="0" fontId="25" fillId="15" borderId="2" xfId="0" applyFont="1" applyFill="1" applyBorder="1" applyAlignment="1">
      <alignment horizontal="left" vertical="top" wrapText="1"/>
    </xf>
    <xf numFmtId="0" fontId="26" fillId="15" borderId="2" xfId="0" applyFont="1" applyFill="1" applyBorder="1" applyAlignment="1">
      <alignment wrapText="1"/>
    </xf>
    <xf numFmtId="170" fontId="0" fillId="0" borderId="0" xfId="0" applyNumberFormat="1"/>
    <xf numFmtId="0" fontId="27" fillId="0" borderId="12" xfId="0" applyFont="1" applyBorder="1" applyAlignment="1">
      <alignment horizontal="left" vertical="top" wrapText="1"/>
    </xf>
    <xf numFmtId="166" fontId="0" fillId="0" borderId="2" xfId="2" applyNumberFormat="1" applyFont="1" applyBorder="1"/>
    <xf numFmtId="166" fontId="0" fillId="0" borderId="13" xfId="2" applyNumberFormat="1" applyFont="1" applyBorder="1"/>
    <xf numFmtId="0" fontId="27" fillId="0" borderId="12" xfId="0" applyFont="1" applyBorder="1" applyAlignment="1">
      <alignment horizontal="right" vertical="top" wrapText="1"/>
    </xf>
    <xf numFmtId="0" fontId="27" fillId="0" borderId="2" xfId="0" applyFont="1" applyBorder="1" applyAlignment="1">
      <alignment vertical="top" wrapText="1"/>
    </xf>
    <xf numFmtId="0" fontId="0" fillId="0" borderId="5" xfId="0" applyBorder="1"/>
    <xf numFmtId="0" fontId="27" fillId="17" borderId="12" xfId="0" applyFont="1" applyFill="1" applyBorder="1" applyAlignment="1">
      <alignment horizontal="right" vertical="top" wrapText="1"/>
    </xf>
    <xf numFmtId="0" fontId="3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2" xfId="0" applyBorder="1"/>
    <xf numFmtId="0" fontId="0" fillId="0" borderId="2" xfId="0" applyBorder="1" applyAlignment="1">
      <alignment wrapText="1"/>
    </xf>
    <xf numFmtId="172" fontId="0" fillId="0" borderId="2" xfId="0" applyNumberFormat="1" applyBorder="1"/>
    <xf numFmtId="0" fontId="32" fillId="0" borderId="2" xfId="0" applyFont="1" applyBorder="1" applyAlignment="1">
      <alignment wrapText="1"/>
    </xf>
    <xf numFmtId="0" fontId="34" fillId="22" borderId="2" xfId="0" applyFont="1" applyFill="1" applyBorder="1" applyAlignment="1">
      <alignment wrapText="1"/>
    </xf>
    <xf numFmtId="0" fontId="0" fillId="23" borderId="0" xfId="0" applyFill="1"/>
    <xf numFmtId="0" fontId="34" fillId="23" borderId="0" xfId="0" applyFont="1" applyFill="1"/>
    <xf numFmtId="0" fontId="34" fillId="16" borderId="2" xfId="0" applyFont="1" applyFill="1" applyBorder="1" applyAlignment="1">
      <alignment wrapText="1"/>
    </xf>
    <xf numFmtId="0" fontId="34" fillId="0" borderId="0" xfId="0" applyFont="1"/>
    <xf numFmtId="0" fontId="32" fillId="0" borderId="2" xfId="0" applyFont="1" applyBorder="1" applyAlignment="1">
      <alignment horizontal="right" wrapText="1"/>
    </xf>
    <xf numFmtId="0" fontId="36" fillId="16" borderId="2" xfId="0" applyFont="1" applyFill="1" applyBorder="1" applyAlignment="1">
      <alignment wrapText="1"/>
    </xf>
    <xf numFmtId="0" fontId="34" fillId="24" borderId="2" xfId="0" applyFont="1" applyFill="1" applyBorder="1" applyAlignment="1">
      <alignment wrapText="1"/>
    </xf>
    <xf numFmtId="0" fontId="0" fillId="0" borderId="2" xfId="0" applyBorder="1" applyAlignment="1">
      <alignment horizontal="right" wrapText="1"/>
    </xf>
    <xf numFmtId="0" fontId="35" fillId="25" borderId="0" xfId="0" applyFont="1" applyFill="1"/>
    <xf numFmtId="0" fontId="34" fillId="24" borderId="2" xfId="0" applyFont="1" applyFill="1" applyBorder="1"/>
    <xf numFmtId="0" fontId="34" fillId="24" borderId="0" xfId="0" applyFont="1" applyFill="1"/>
    <xf numFmtId="0" fontId="37" fillId="24" borderId="2" xfId="0" applyFont="1" applyFill="1" applyBorder="1"/>
    <xf numFmtId="0" fontId="37" fillId="24" borderId="2" xfId="0" applyFont="1" applyFill="1" applyBorder="1" applyAlignment="1">
      <alignment wrapText="1"/>
    </xf>
    <xf numFmtId="0" fontId="37" fillId="24" borderId="0" xfId="0" applyFont="1" applyFill="1"/>
    <xf numFmtId="0" fontId="32" fillId="0" borderId="2" xfId="0" applyFont="1" applyBorder="1"/>
    <xf numFmtId="172" fontId="0" fillId="20" borderId="2" xfId="0" applyNumberFormat="1" applyFill="1" applyBorder="1"/>
    <xf numFmtId="172" fontId="37" fillId="26" borderId="15" xfId="0" applyNumberFormat="1" applyFont="1" applyFill="1" applyBorder="1"/>
    <xf numFmtId="172" fontId="0" fillId="0" borderId="0" xfId="0" applyNumberFormat="1"/>
    <xf numFmtId="169" fontId="1" fillId="0" borderId="0" xfId="2" applyNumberFormat="1" applyFont="1"/>
    <xf numFmtId="0" fontId="42" fillId="0" borderId="12" xfId="0" applyFont="1" applyBorder="1"/>
    <xf numFmtId="0" fontId="42" fillId="0" borderId="2" xfId="0" applyFont="1" applyBorder="1" applyAlignment="1">
      <alignment wrapText="1"/>
    </xf>
    <xf numFmtId="172" fontId="42" fillId="0" borderId="2" xfId="2" applyNumberFormat="1" applyFont="1" applyBorder="1"/>
    <xf numFmtId="172" fontId="42" fillId="0" borderId="2" xfId="0" applyNumberFormat="1" applyFont="1" applyBorder="1"/>
    <xf numFmtId="0" fontId="44" fillId="0" borderId="2" xfId="0" applyFont="1" applyBorder="1" applyAlignment="1">
      <alignment wrapText="1"/>
    </xf>
    <xf numFmtId="0" fontId="41" fillId="22" borderId="12" xfId="0" applyFont="1" applyFill="1" applyBorder="1"/>
    <xf numFmtId="0" fontId="41" fillId="22" borderId="2" xfId="0" applyFont="1" applyFill="1" applyBorder="1" applyAlignment="1">
      <alignment wrapText="1"/>
    </xf>
    <xf numFmtId="172" fontId="41" fillId="22" borderId="2" xfId="2" applyNumberFormat="1" applyFont="1" applyFill="1" applyBorder="1"/>
    <xf numFmtId="0" fontId="41" fillId="23" borderId="12" xfId="0" applyFont="1" applyFill="1" applyBorder="1"/>
    <xf numFmtId="0" fontId="41" fillId="23" borderId="2" xfId="0" applyFont="1" applyFill="1" applyBorder="1" applyAlignment="1">
      <alignment wrapText="1"/>
    </xf>
    <xf numFmtId="172" fontId="41" fillId="23" borderId="2" xfId="2" applyNumberFormat="1" applyFont="1" applyFill="1" applyBorder="1"/>
    <xf numFmtId="172" fontId="41" fillId="23" borderId="2" xfId="0" applyNumberFormat="1" applyFont="1" applyFill="1" applyBorder="1"/>
    <xf numFmtId="172" fontId="46" fillId="22" borderId="2" xfId="0" applyNumberFormat="1" applyFont="1" applyFill="1" applyBorder="1" applyAlignment="1">
      <alignment wrapText="1"/>
    </xf>
    <xf numFmtId="0" fontId="41" fillId="16" borderId="12" xfId="0" applyFont="1" applyFill="1" applyBorder="1"/>
    <xf numFmtId="0" fontId="41" fillId="16" borderId="2" xfId="0" applyFont="1" applyFill="1" applyBorder="1" applyAlignment="1">
      <alignment wrapText="1"/>
    </xf>
    <xf numFmtId="172" fontId="41" fillId="16" borderId="2" xfId="2" applyNumberFormat="1" applyFont="1" applyFill="1" applyBorder="1"/>
    <xf numFmtId="0" fontId="44" fillId="0" borderId="2" xfId="0" applyFont="1" applyBorder="1" applyAlignment="1">
      <alignment horizontal="right" wrapText="1"/>
    </xf>
    <xf numFmtId="0" fontId="47" fillId="16" borderId="12" xfId="0" applyFont="1" applyFill="1" applyBorder="1"/>
    <xf numFmtId="0" fontId="47" fillId="16" borderId="2" xfId="0" applyFont="1" applyFill="1" applyBorder="1" applyAlignment="1">
      <alignment wrapText="1"/>
    </xf>
    <xf numFmtId="172" fontId="47" fillId="16" borderId="2" xfId="2" applyNumberFormat="1" applyFont="1" applyFill="1" applyBorder="1"/>
    <xf numFmtId="0" fontId="41" fillId="24" borderId="12" xfId="0" applyFont="1" applyFill="1" applyBorder="1"/>
    <xf numFmtId="0" fontId="41" fillId="24" borderId="2" xfId="0" applyFont="1" applyFill="1" applyBorder="1" applyAlignment="1">
      <alignment wrapText="1"/>
    </xf>
    <xf numFmtId="172" fontId="41" fillId="24" borderId="2" xfId="2" applyNumberFormat="1" applyFont="1" applyFill="1" applyBorder="1"/>
    <xf numFmtId="0" fontId="42" fillId="0" borderId="2" xfId="0" applyFont="1" applyBorder="1" applyAlignment="1">
      <alignment horizontal="right" wrapText="1"/>
    </xf>
    <xf numFmtId="0" fontId="47" fillId="24" borderId="12" xfId="0" applyFont="1" applyFill="1" applyBorder="1"/>
    <xf numFmtId="0" fontId="47" fillId="24" borderId="2" xfId="0" applyFont="1" applyFill="1" applyBorder="1" applyAlignment="1">
      <alignment wrapText="1"/>
    </xf>
    <xf numFmtId="172" fontId="47" fillId="24" borderId="2" xfId="2" applyNumberFormat="1" applyFont="1" applyFill="1" applyBorder="1"/>
    <xf numFmtId="172" fontId="45" fillId="16" borderId="2" xfId="2" applyNumberFormat="1" applyFont="1" applyFill="1" applyBorder="1"/>
    <xf numFmtId="0" fontId="42" fillId="0" borderId="2" xfId="0" applyFont="1" applyBorder="1"/>
    <xf numFmtId="0" fontId="43" fillId="22" borderId="2" xfId="0" applyFont="1" applyFill="1" applyBorder="1"/>
    <xf numFmtId="0" fontId="43" fillId="22" borderId="2" xfId="0" applyFont="1" applyFill="1" applyBorder="1" applyAlignment="1">
      <alignment wrapText="1"/>
    </xf>
    <xf numFmtId="172" fontId="43" fillId="22" borderId="2" xfId="2" applyNumberFormat="1" applyFont="1" applyFill="1" applyBorder="1"/>
    <xf numFmtId="172" fontId="49" fillId="27" borderId="2" xfId="2" applyNumberFormat="1" applyFont="1" applyFill="1" applyBorder="1"/>
    <xf numFmtId="172" fontId="1" fillId="0" borderId="2" xfId="2" applyNumberFormat="1" applyFont="1" applyBorder="1"/>
    <xf numFmtId="169" fontId="1" fillId="0" borderId="2" xfId="2" applyNumberFormat="1" applyFont="1" applyBorder="1"/>
    <xf numFmtId="0" fontId="2" fillId="0" borderId="12" xfId="0" applyFont="1" applyBorder="1"/>
    <xf numFmtId="0" fontId="34" fillId="0" borderId="2" xfId="0" applyFont="1" applyBorder="1" applyAlignment="1">
      <alignment wrapText="1"/>
    </xf>
    <xf numFmtId="0" fontId="34" fillId="0" borderId="2" xfId="0" applyFont="1" applyBorder="1"/>
    <xf numFmtId="172" fontId="2" fillId="20" borderId="2" xfId="0" applyNumberFormat="1" applyFont="1" applyFill="1" applyBorder="1"/>
    <xf numFmtId="169" fontId="2" fillId="0" borderId="2" xfId="2" applyNumberFormat="1" applyFont="1" applyBorder="1"/>
    <xf numFmtId="0" fontId="2" fillId="0" borderId="0" xfId="0" applyFont="1"/>
    <xf numFmtId="0" fontId="0" fillId="0" borderId="23" xfId="0" applyBorder="1"/>
    <xf numFmtId="0" fontId="32" fillId="0" borderId="6" xfId="0" applyFont="1" applyBorder="1"/>
    <xf numFmtId="172" fontId="52" fillId="0" borderId="0" xfId="0" applyNumberFormat="1" applyFont="1"/>
    <xf numFmtId="172" fontId="43" fillId="20" borderId="2" xfId="0" applyNumberFormat="1" applyFont="1" applyFill="1" applyBorder="1"/>
    <xf numFmtId="0" fontId="42" fillId="0" borderId="2" xfId="0" applyFont="1" applyBorder="1" applyAlignment="1"/>
    <xf numFmtId="0" fontId="0" fillId="0" borderId="0" xfId="0"/>
    <xf numFmtId="0" fontId="30" fillId="17" borderId="2" xfId="0" applyFont="1" applyFill="1" applyBorder="1"/>
    <xf numFmtId="0" fontId="30" fillId="17" borderId="2" xfId="0" applyFont="1" applyFill="1" applyBorder="1" applyAlignment="1"/>
    <xf numFmtId="0" fontId="30" fillId="17" borderId="2" xfId="0" applyFont="1" applyFill="1" applyBorder="1" applyAlignment="1">
      <alignment horizontal="left" vertical="center"/>
    </xf>
    <xf numFmtId="0" fontId="2" fillId="18" borderId="2" xfId="0" applyFont="1" applyFill="1" applyBorder="1"/>
    <xf numFmtId="0" fontId="0" fillId="0" borderId="2" xfId="0" applyBorder="1"/>
    <xf numFmtId="0" fontId="31" fillId="0" borderId="2" xfId="0" applyFont="1" applyBorder="1" applyAlignment="1">
      <alignment horizontal="left" vertical="top" wrapText="1"/>
    </xf>
    <xf numFmtId="0" fontId="0" fillId="0" borderId="0" xfId="0" applyAlignment="1">
      <alignment horizontal="right"/>
    </xf>
    <xf numFmtId="166" fontId="1" fillId="0" borderId="2" xfId="2" applyNumberFormat="1" applyFont="1" applyBorder="1"/>
    <xf numFmtId="166" fontId="2" fillId="18" borderId="2" xfId="2" applyNumberFormat="1" applyFont="1" applyFill="1" applyBorder="1"/>
    <xf numFmtId="0" fontId="54" fillId="17" borderId="0" xfId="0" applyFont="1" applyFill="1"/>
    <xf numFmtId="172" fontId="0" fillId="17" borderId="2" xfId="0" applyNumberFormat="1" applyFill="1" applyBorder="1"/>
    <xf numFmtId="166" fontId="2" fillId="0" borderId="2" xfId="2" applyNumberFormat="1" applyFont="1" applyBorder="1"/>
    <xf numFmtId="166" fontId="2" fillId="28" borderId="2" xfId="2" applyNumberFormat="1" applyFont="1" applyFill="1" applyBorder="1"/>
    <xf numFmtId="166" fontId="2" fillId="21" borderId="2" xfId="2" applyNumberFormat="1" applyFont="1" applyFill="1" applyBorder="1"/>
    <xf numFmtId="166" fontId="2" fillId="16" borderId="2" xfId="2" applyNumberFormat="1" applyFont="1" applyFill="1" applyBorder="1"/>
    <xf numFmtId="166" fontId="2" fillId="15" borderId="2" xfId="2" applyNumberFormat="1" applyFont="1" applyFill="1" applyBorder="1"/>
    <xf numFmtId="0" fontId="27" fillId="0" borderId="2" xfId="0" applyFont="1" applyBorder="1" applyAlignment="1">
      <alignment horizontal="right" vertical="top" wrapText="1"/>
    </xf>
    <xf numFmtId="0" fontId="2" fillId="0" borderId="0" xfId="0" applyFont="1" applyAlignment="1"/>
    <xf numFmtId="0" fontId="24" fillId="15" borderId="2" xfId="0" applyFont="1" applyFill="1" applyBorder="1" applyAlignment="1">
      <alignment horizontal="center" vertical="center" wrapText="1"/>
    </xf>
    <xf numFmtId="170" fontId="24" fillId="15" borderId="2" xfId="4" applyNumberFormat="1" applyFont="1" applyFill="1" applyBorder="1" applyAlignment="1">
      <alignment horizontal="center" vertical="center" wrapText="1"/>
    </xf>
    <xf numFmtId="0" fontId="28" fillId="17" borderId="2" xfId="0" applyFont="1" applyFill="1" applyBorder="1"/>
    <xf numFmtId="3" fontId="30" fillId="17" borderId="2" xfId="4" applyNumberFormat="1" applyFont="1" applyFill="1" applyBorder="1" applyAlignment="1">
      <alignment horizontal="right" vertical="center"/>
    </xf>
    <xf numFmtId="49" fontId="30" fillId="0" borderId="2" xfId="0" applyNumberFormat="1" applyFont="1" applyBorder="1" applyAlignment="1">
      <alignment horizontal="left" wrapText="1"/>
    </xf>
    <xf numFmtId="3" fontId="30" fillId="0" borderId="5" xfId="0" applyNumberFormat="1" applyFont="1" applyFill="1" applyBorder="1" applyAlignment="1">
      <alignment vertical="center"/>
    </xf>
    <xf numFmtId="49" fontId="30" fillId="0" borderId="2" xfId="0" applyNumberFormat="1" applyFont="1" applyBorder="1" applyAlignment="1">
      <alignment horizontal="left" vertical="center" wrapText="1"/>
    </xf>
    <xf numFmtId="3" fontId="30" fillId="17" borderId="2" xfId="4" applyNumberFormat="1" applyFont="1" applyFill="1" applyBorder="1" applyAlignment="1">
      <alignment horizontal="right" vertical="top"/>
    </xf>
    <xf numFmtId="0" fontId="27" fillId="17" borderId="2" xfId="0" applyFont="1" applyFill="1" applyBorder="1" applyAlignment="1">
      <alignment vertical="top" wrapText="1"/>
    </xf>
    <xf numFmtId="171" fontId="30" fillId="17" borderId="2" xfId="4" applyNumberFormat="1" applyFont="1" applyFill="1" applyBorder="1" applyAlignment="1">
      <alignment horizontal="right" vertical="top"/>
    </xf>
    <xf numFmtId="0" fontId="28" fillId="17" borderId="6" xfId="0" applyFont="1" applyFill="1" applyBorder="1"/>
    <xf numFmtId="3" fontId="30" fillId="0" borderId="24" xfId="0" applyNumberFormat="1" applyFont="1" applyFill="1" applyBorder="1" applyAlignment="1">
      <alignment vertical="center"/>
    </xf>
    <xf numFmtId="0" fontId="26" fillId="15" borderId="2" xfId="0" applyFont="1" applyFill="1" applyBorder="1" applyAlignment="1">
      <alignment horizontal="left"/>
    </xf>
    <xf numFmtId="171" fontId="29" fillId="15" borderId="2" xfId="4" applyNumberFormat="1" applyFont="1" applyFill="1" applyBorder="1" applyAlignment="1">
      <alignment horizontal="right" vertical="top"/>
    </xf>
    <xf numFmtId="0" fontId="26" fillId="15" borderId="3" xfId="0" applyFont="1" applyFill="1" applyBorder="1"/>
    <xf numFmtId="171" fontId="29" fillId="15" borderId="7" xfId="4" applyNumberFormat="1" applyFont="1" applyFill="1" applyBorder="1" applyAlignment="1">
      <alignment horizontal="right" vertical="top"/>
    </xf>
    <xf numFmtId="0" fontId="28" fillId="0" borderId="2" xfId="0" applyFont="1" applyBorder="1"/>
    <xf numFmtId="171" fontId="30" fillId="0" borderId="2" xfId="4" applyNumberFormat="1" applyFont="1" applyBorder="1" applyAlignment="1">
      <alignment horizontal="right" vertical="top"/>
    </xf>
    <xf numFmtId="0" fontId="31" fillId="17" borderId="2" xfId="0" applyFont="1" applyFill="1" applyBorder="1" applyAlignment="1">
      <alignment horizontal="left" vertical="top" wrapText="1"/>
    </xf>
    <xf numFmtId="0" fontId="26" fillId="15" borderId="2" xfId="0" applyFont="1" applyFill="1" applyBorder="1"/>
    <xf numFmtId="3" fontId="29" fillId="15" borderId="2" xfId="4" applyNumberFormat="1" applyFont="1" applyFill="1" applyBorder="1" applyAlignment="1">
      <alignment horizontal="right" vertical="top"/>
    </xf>
    <xf numFmtId="171" fontId="29" fillId="15" borderId="5" xfId="4" applyNumberFormat="1" applyFont="1" applyFill="1" applyBorder="1" applyAlignment="1">
      <alignment horizontal="right" vertical="top"/>
    </xf>
    <xf numFmtId="3" fontId="55" fillId="15" borderId="2" xfId="4" applyNumberFormat="1" applyFont="1" applyFill="1" applyBorder="1" applyAlignment="1">
      <alignment horizontal="right" vertical="top"/>
    </xf>
    <xf numFmtId="3" fontId="55" fillId="15" borderId="5" xfId="4" applyNumberFormat="1" applyFont="1" applyFill="1" applyBorder="1"/>
    <xf numFmtId="0" fontId="0" fillId="0" borderId="0" xfId="0"/>
    <xf numFmtId="3" fontId="0" fillId="0" borderId="0" xfId="0" applyNumberFormat="1"/>
    <xf numFmtId="3" fontId="30" fillId="17" borderId="9" xfId="4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169" fontId="55" fillId="29" borderId="2" xfId="5" applyNumberFormat="1" applyFont="1" applyFill="1" applyBorder="1" applyAlignment="1">
      <alignment horizontal="center" wrapText="1"/>
    </xf>
    <xf numFmtId="0" fontId="57" fillId="0" borderId="0" xfId="0" applyFont="1" applyAlignment="1">
      <alignment horizontal="left" wrapText="1"/>
    </xf>
    <xf numFmtId="0" fontId="4" fillId="0" borderId="0" xfId="0" applyFont="1"/>
    <xf numFmtId="0" fontId="63" fillId="23" borderId="2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" xfId="0" applyFont="1" applyBorder="1"/>
    <xf numFmtId="0" fontId="2" fillId="30" borderId="2" xfId="0" applyFont="1" applyFill="1" applyBorder="1"/>
    <xf numFmtId="0" fontId="0" fillId="0" borderId="12" xfId="0" applyBorder="1" applyAlignment="1">
      <alignment wrapText="1"/>
    </xf>
    <xf numFmtId="0" fontId="2" fillId="30" borderId="12" xfId="0" applyFont="1" applyFill="1" applyBorder="1" applyAlignment="1">
      <alignment wrapText="1"/>
    </xf>
    <xf numFmtId="0" fontId="0" fillId="0" borderId="15" xfId="0" applyBorder="1"/>
    <xf numFmtId="0" fontId="0" fillId="17" borderId="0" xfId="0" applyFill="1"/>
    <xf numFmtId="0" fontId="60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62" fillId="0" borderId="16" xfId="0" applyFont="1" applyBorder="1" applyAlignment="1">
      <alignment wrapText="1"/>
    </xf>
    <xf numFmtId="0" fontId="63" fillId="19" borderId="2" xfId="0" applyFont="1" applyFill="1" applyBorder="1" applyAlignment="1">
      <alignment wrapText="1"/>
    </xf>
    <xf numFmtId="0" fontId="4" fillId="17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49" fontId="6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9" fontId="0" fillId="0" borderId="13" xfId="5" applyNumberFormat="1" applyFont="1" applyBorder="1"/>
    <xf numFmtId="49" fontId="0" fillId="0" borderId="12" xfId="0" applyNumberFormat="1" applyBorder="1"/>
    <xf numFmtId="0" fontId="2" fillId="16" borderId="2" xfId="0" applyFont="1" applyFill="1" applyBorder="1" applyAlignment="1">
      <alignment wrapText="1"/>
    </xf>
    <xf numFmtId="0" fontId="60" fillId="0" borderId="0" xfId="0" applyFont="1" applyAlignment="1">
      <alignment horizontal="left" wrapText="1"/>
    </xf>
    <xf numFmtId="166" fontId="2" fillId="30" borderId="2" xfId="2" applyNumberFormat="1" applyFont="1" applyFill="1" applyBorder="1"/>
    <xf numFmtId="0" fontId="40" fillId="0" borderId="0" xfId="0" applyFont="1" applyAlignment="1">
      <alignment wrapText="1"/>
    </xf>
    <xf numFmtId="172" fontId="47" fillId="25" borderId="2" xfId="0" applyNumberFormat="1" applyFont="1" applyFill="1" applyBorder="1"/>
    <xf numFmtId="0" fontId="41" fillId="22" borderId="2" xfId="0" applyFont="1" applyFill="1" applyBorder="1"/>
    <xf numFmtId="0" fontId="41" fillId="23" borderId="2" xfId="0" applyFont="1" applyFill="1" applyBorder="1"/>
    <xf numFmtId="0" fontId="41" fillId="16" borderId="2" xfId="0" applyFont="1" applyFill="1" applyBorder="1"/>
    <xf numFmtId="0" fontId="47" fillId="16" borderId="2" xfId="0" applyFont="1" applyFill="1" applyBorder="1"/>
    <xf numFmtId="0" fontId="41" fillId="24" borderId="2" xfId="0" applyFont="1" applyFill="1" applyBorder="1"/>
    <xf numFmtId="0" fontId="47" fillId="24" borderId="2" xfId="0" applyFont="1" applyFill="1" applyBorder="1"/>
    <xf numFmtId="0" fontId="45" fillId="16" borderId="2" xfId="0" applyFont="1" applyFill="1" applyBorder="1"/>
    <xf numFmtId="172" fontId="50" fillId="26" borderId="2" xfId="2" applyNumberFormat="1" applyFont="1" applyFill="1" applyBorder="1"/>
    <xf numFmtId="0" fontId="2" fillId="0" borderId="2" xfId="0" applyFont="1" applyBorder="1"/>
    <xf numFmtId="0" fontId="43" fillId="22" borderId="12" xfId="0" applyFont="1" applyFill="1" applyBorder="1"/>
    <xf numFmtId="0" fontId="0" fillId="0" borderId="13" xfId="0" applyBorder="1"/>
    <xf numFmtId="0" fontId="33" fillId="0" borderId="0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/>
    </xf>
    <xf numFmtId="0" fontId="0" fillId="0" borderId="0" xfId="0"/>
    <xf numFmtId="0" fontId="72" fillId="14" borderId="16" xfId="0" applyFont="1" applyFill="1" applyBorder="1" applyAlignment="1">
      <alignment horizontal="center" vertical="center"/>
    </xf>
    <xf numFmtId="0" fontId="72" fillId="14" borderId="17" xfId="0" applyFont="1" applyFill="1" applyBorder="1" applyAlignment="1">
      <alignment horizontal="center" vertical="center"/>
    </xf>
    <xf numFmtId="0" fontId="0" fillId="14" borderId="18" xfId="0" applyFill="1" applyBorder="1"/>
    <xf numFmtId="0" fontId="28" fillId="0" borderId="12" xfId="0" applyFont="1" applyBorder="1" applyAlignment="1">
      <alignment wrapText="1"/>
    </xf>
    <xf numFmtId="169" fontId="73" fillId="0" borderId="2" xfId="5" applyNumberFormat="1" applyFont="1" applyBorder="1" applyAlignment="1">
      <alignment horizontal="right"/>
    </xf>
    <xf numFmtId="169" fontId="0" fillId="0" borderId="2" xfId="5" applyNumberFormat="1" applyFont="1" applyBorder="1"/>
    <xf numFmtId="169" fontId="74" fillId="0" borderId="2" xfId="5" applyNumberFormat="1" applyFont="1" applyBorder="1" applyAlignment="1">
      <alignment wrapText="1"/>
    </xf>
    <xf numFmtId="0" fontId="75" fillId="14" borderId="12" xfId="0" applyFont="1" applyFill="1" applyBorder="1"/>
    <xf numFmtId="169" fontId="75" fillId="14" borderId="2" xfId="5" applyNumberFormat="1" applyFont="1" applyFill="1" applyBorder="1" applyAlignment="1">
      <alignment horizontal="right"/>
    </xf>
    <xf numFmtId="0" fontId="76" fillId="0" borderId="12" xfId="0" applyFont="1" applyBorder="1"/>
    <xf numFmtId="169" fontId="76" fillId="0" borderId="2" xfId="0" applyNumberFormat="1" applyFont="1" applyBorder="1" applyAlignment="1">
      <alignment horizontal="right"/>
    </xf>
    <xf numFmtId="0" fontId="72" fillId="0" borderId="12" xfId="0" applyFont="1" applyBorder="1"/>
    <xf numFmtId="0" fontId="75" fillId="32" borderId="14" xfId="0" applyFont="1" applyFill="1" applyBorder="1"/>
    <xf numFmtId="169" fontId="75" fillId="32" borderId="15" xfId="0" applyNumberFormat="1" applyFont="1" applyFill="1" applyBorder="1" applyAlignment="1">
      <alignment horizontal="right"/>
    </xf>
    <xf numFmtId="0" fontId="67" fillId="0" borderId="0" xfId="0" applyFont="1"/>
    <xf numFmtId="0" fontId="77" fillId="0" borderId="0" xfId="0" applyFont="1" applyAlignment="1">
      <alignment horizontal="right"/>
    </xf>
    <xf numFmtId="0" fontId="79" fillId="0" borderId="15" xfId="0" applyFont="1" applyBorder="1" applyAlignment="1">
      <alignment horizontal="center" vertical="center" wrapText="1"/>
    </xf>
    <xf numFmtId="0" fontId="80" fillId="0" borderId="16" xfId="0" applyFont="1" applyBorder="1" applyAlignment="1">
      <alignment horizontal="center" wrapText="1"/>
    </xf>
    <xf numFmtId="0" fontId="80" fillId="0" borderId="17" xfId="0" applyFont="1" applyBorder="1" applyAlignment="1">
      <alignment horizontal="center" wrapText="1"/>
    </xf>
    <xf numFmtId="0" fontId="80" fillId="0" borderId="34" xfId="0" applyFont="1" applyBorder="1" applyAlignment="1">
      <alignment horizontal="center" wrapText="1"/>
    </xf>
    <xf numFmtId="0" fontId="80" fillId="0" borderId="12" xfId="0" applyFont="1" applyBorder="1" applyAlignment="1">
      <alignment horizontal="left" vertical="center" wrapText="1"/>
    </xf>
    <xf numFmtId="49" fontId="80" fillId="0" borderId="2" xfId="0" applyNumberFormat="1" applyFont="1" applyBorder="1" applyAlignment="1">
      <alignment horizontal="center" wrapText="1"/>
    </xf>
    <xf numFmtId="170" fontId="79" fillId="0" borderId="2" xfId="4" applyNumberFormat="1" applyFont="1" applyBorder="1" applyAlignment="1" applyProtection="1">
      <alignment horizontal="right" vertical="center" wrapText="1"/>
      <protection locked="0"/>
    </xf>
    <xf numFmtId="170" fontId="79" fillId="0" borderId="31" xfId="4" applyNumberFormat="1" applyFont="1" applyBorder="1" applyAlignment="1">
      <alignment horizontal="right" vertical="center" wrapText="1"/>
    </xf>
    <xf numFmtId="0" fontId="80" fillId="0" borderId="23" xfId="0" applyFont="1" applyBorder="1" applyAlignment="1">
      <alignment horizontal="left" vertical="center" wrapText="1"/>
    </xf>
    <xf numFmtId="49" fontId="80" fillId="0" borderId="6" xfId="0" applyNumberFormat="1" applyFont="1" applyBorder="1" applyAlignment="1">
      <alignment horizontal="center" wrapText="1"/>
    </xf>
    <xf numFmtId="170" fontId="79" fillId="0" borderId="6" xfId="4" applyNumberFormat="1" applyFont="1" applyBorder="1" applyAlignment="1" applyProtection="1">
      <alignment horizontal="right" vertical="center" wrapText="1"/>
      <protection locked="0"/>
    </xf>
    <xf numFmtId="170" fontId="79" fillId="0" borderId="59" xfId="4" applyNumberFormat="1" applyFont="1" applyBorder="1" applyAlignment="1">
      <alignment horizontal="right" vertical="center" wrapText="1"/>
    </xf>
    <xf numFmtId="0" fontId="79" fillId="0" borderId="52" xfId="0" applyFont="1" applyBorder="1" applyAlignment="1">
      <alignment horizontal="left" vertical="center" wrapText="1"/>
    </xf>
    <xf numFmtId="49" fontId="79" fillId="0" borderId="43" xfId="0" applyNumberFormat="1" applyFont="1" applyBorder="1" applyAlignment="1">
      <alignment horizontal="center" wrapText="1"/>
    </xf>
    <xf numFmtId="170" fontId="79" fillId="0" borderId="43" xfId="4" applyNumberFormat="1" applyFont="1" applyBorder="1" applyAlignment="1">
      <alignment horizontal="right" vertical="center" wrapText="1"/>
    </xf>
    <xf numFmtId="170" fontId="79" fillId="0" borderId="38" xfId="4" applyNumberFormat="1" applyFont="1" applyBorder="1" applyAlignment="1">
      <alignment horizontal="right" vertical="center" wrapText="1"/>
    </xf>
    <xf numFmtId="0" fontId="79" fillId="0" borderId="47" xfId="0" applyFont="1" applyBorder="1" applyAlignment="1">
      <alignment horizontal="left" vertical="center" wrapText="1"/>
    </xf>
    <xf numFmtId="49" fontId="79" fillId="0" borderId="46" xfId="0" applyNumberFormat="1" applyFont="1" applyBorder="1" applyAlignment="1">
      <alignment horizontal="center" wrapText="1"/>
    </xf>
    <xf numFmtId="170" fontId="79" fillId="0" borderId="46" xfId="4" applyNumberFormat="1" applyFont="1" applyBorder="1" applyAlignment="1">
      <alignment horizontal="right" vertical="center" wrapText="1"/>
    </xf>
    <xf numFmtId="0" fontId="79" fillId="0" borderId="43" xfId="0" applyFont="1" applyBorder="1" applyAlignment="1">
      <alignment horizontal="center" wrapText="1"/>
    </xf>
    <xf numFmtId="0" fontId="80" fillId="0" borderId="25" xfId="0" applyFont="1" applyBorder="1" applyAlignment="1">
      <alignment horizontal="left" vertical="center" wrapText="1"/>
    </xf>
    <xf numFmtId="0" fontId="80" fillId="0" borderId="3" xfId="0" applyFont="1" applyBorder="1" applyAlignment="1">
      <alignment horizontal="center" wrapText="1"/>
    </xf>
    <xf numFmtId="170" fontId="79" fillId="0" borderId="3" xfId="4" applyNumberFormat="1" applyFont="1" applyBorder="1" applyAlignment="1" applyProtection="1">
      <alignment horizontal="right" vertical="center" wrapText="1"/>
      <protection locked="0"/>
    </xf>
    <xf numFmtId="170" fontId="79" fillId="0" borderId="36" xfId="4" applyNumberFormat="1" applyFont="1" applyBorder="1" applyAlignment="1">
      <alignment horizontal="right" vertical="center" wrapText="1"/>
    </xf>
    <xf numFmtId="0" fontId="80" fillId="0" borderId="2" xfId="0" applyFont="1" applyBorder="1" applyAlignment="1">
      <alignment horizontal="center" wrapText="1"/>
    </xf>
    <xf numFmtId="0" fontId="80" fillId="0" borderId="6" xfId="0" applyFont="1" applyBorder="1" applyAlignment="1">
      <alignment horizontal="center" wrapText="1"/>
    </xf>
    <xf numFmtId="0" fontId="79" fillId="0" borderId="46" xfId="0" applyFont="1" applyBorder="1" applyAlignment="1">
      <alignment horizontal="center" wrapText="1"/>
    </xf>
    <xf numFmtId="170" fontId="79" fillId="0" borderId="58" xfId="4" applyNumberFormat="1" applyFont="1" applyBorder="1" applyAlignment="1">
      <alignment horizontal="right" vertical="center" wrapText="1"/>
    </xf>
    <xf numFmtId="0" fontId="0" fillId="0" borderId="9" xfId="0" applyBorder="1"/>
    <xf numFmtId="0" fontId="82" fillId="0" borderId="2" xfId="10" applyFont="1" applyBorder="1" applyAlignment="1">
      <alignment horizontal="center"/>
    </xf>
    <xf numFmtId="0" fontId="82" fillId="0" borderId="2" xfId="10" applyFont="1" applyBorder="1" applyAlignment="1">
      <alignment horizontal="center" wrapText="1"/>
    </xf>
    <xf numFmtId="0" fontId="83" fillId="0" borderId="2" xfId="10" applyFont="1" applyBorder="1"/>
    <xf numFmtId="0" fontId="83" fillId="0" borderId="2" xfId="10" applyFont="1" applyBorder="1" applyAlignment="1">
      <alignment horizontal="right"/>
    </xf>
    <xf numFmtId="0" fontId="82" fillId="0" borderId="2" xfId="10" applyFont="1" applyBorder="1"/>
    <xf numFmtId="0" fontId="82" fillId="33" borderId="2" xfId="10" applyFont="1" applyFill="1" applyBorder="1" applyAlignment="1">
      <alignment horizontal="center"/>
    </xf>
    <xf numFmtId="0" fontId="82" fillId="0" borderId="2" xfId="10" applyFont="1" applyBorder="1" applyAlignment="1">
      <alignment wrapText="1"/>
    </xf>
    <xf numFmtId="0" fontId="82" fillId="34" borderId="2" xfId="10" applyFont="1" applyFill="1" applyBorder="1"/>
    <xf numFmtId="0" fontId="83" fillId="0" borderId="2" xfId="10" applyFont="1" applyBorder="1" applyAlignment="1">
      <alignment wrapText="1"/>
    </xf>
    <xf numFmtId="0" fontId="0" fillId="0" borderId="0" xfId="0" applyAlignment="1">
      <alignment horizontal="left"/>
    </xf>
    <xf numFmtId="0" fontId="45" fillId="0" borderId="0" xfId="0" applyFont="1" applyAlignment="1">
      <alignment horizontal="center" vertical="center" wrapText="1"/>
    </xf>
    <xf numFmtId="0" fontId="34" fillId="17" borderId="2" xfId="0" applyFont="1" applyFill="1" applyBorder="1"/>
    <xf numFmtId="0" fontId="34" fillId="17" borderId="2" xfId="0" applyFont="1" applyFill="1" applyBorder="1" applyAlignment="1">
      <alignment wrapText="1"/>
    </xf>
    <xf numFmtId="0" fontId="34" fillId="17" borderId="0" xfId="0" applyFont="1" applyFill="1"/>
    <xf numFmtId="0" fontId="41" fillId="17" borderId="12" xfId="0" applyFont="1" applyFill="1" applyBorder="1"/>
    <xf numFmtId="0" fontId="41" fillId="17" borderId="2" xfId="0" applyFont="1" applyFill="1" applyBorder="1"/>
    <xf numFmtId="172" fontId="41" fillId="17" borderId="2" xfId="2" applyNumberFormat="1" applyFont="1" applyFill="1" applyBorder="1"/>
    <xf numFmtId="0" fontId="44" fillId="17" borderId="2" xfId="0" applyFont="1" applyFill="1" applyBorder="1" applyAlignment="1">
      <alignment wrapText="1"/>
    </xf>
    <xf numFmtId="172" fontId="44" fillId="17" borderId="2" xfId="2" applyNumberFormat="1" applyFont="1" applyFill="1" applyBorder="1"/>
    <xf numFmtId="0" fontId="0" fillId="0" borderId="0" xfId="0"/>
    <xf numFmtId="43" fontId="68" fillId="0" borderId="2" xfId="15" applyFont="1" applyBorder="1"/>
    <xf numFmtId="0" fontId="69" fillId="0" borderId="2" xfId="0" applyFont="1" applyBorder="1" applyAlignment="1">
      <alignment horizontal="center" vertical="center"/>
    </xf>
    <xf numFmtId="43" fontId="68" fillId="0" borderId="2" xfId="15" applyNumberFormat="1" applyFont="1" applyBorder="1"/>
    <xf numFmtId="170" fontId="65" fillId="0" borderId="40" xfId="15" applyNumberFormat="1" applyFont="1" applyBorder="1" applyAlignment="1">
      <alignment horizontal="center" vertical="center"/>
    </xf>
    <xf numFmtId="0" fontId="59" fillId="0" borderId="41" xfId="0" applyFont="1" applyBorder="1"/>
    <xf numFmtId="173" fontId="68" fillId="0" borderId="42" xfId="15" applyNumberFormat="1" applyFont="1" applyBorder="1" applyAlignment="1">
      <alignment horizontal="center" vertical="center"/>
    </xf>
    <xf numFmtId="0" fontId="68" fillId="0" borderId="48" xfId="0" applyFont="1" applyBorder="1" applyAlignment="1"/>
    <xf numFmtId="0" fontId="68" fillId="0" borderId="45" xfId="0" applyFont="1" applyBorder="1" applyAlignment="1"/>
    <xf numFmtId="0" fontId="59" fillId="0" borderId="51" xfId="0" applyFont="1" applyBorder="1"/>
    <xf numFmtId="0" fontId="0" fillId="0" borderId="0" xfId="0" applyAlignment="1">
      <alignment horizontal="left"/>
    </xf>
    <xf numFmtId="0" fontId="57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60" fillId="0" borderId="0" xfId="0" applyFont="1" applyAlignment="1">
      <alignment horizontal="left" wrapText="1"/>
    </xf>
    <xf numFmtId="0" fontId="27" fillId="0" borderId="2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3" fontId="30" fillId="17" borderId="9" xfId="4" applyNumberFormat="1" applyFont="1" applyFill="1" applyBorder="1" applyAlignment="1">
      <alignment horizontal="right" vertical="top"/>
    </xf>
    <xf numFmtId="171" fontId="30" fillId="17" borderId="9" xfId="4" applyNumberFormat="1" applyFont="1" applyFill="1" applyBorder="1" applyAlignment="1">
      <alignment horizontal="right" vertical="top"/>
    </xf>
    <xf numFmtId="166" fontId="24" fillId="14" borderId="17" xfId="2" applyNumberFormat="1" applyFont="1" applyFill="1" applyBorder="1" applyAlignment="1">
      <alignment horizontal="center" vertical="center" wrapText="1"/>
    </xf>
    <xf numFmtId="172" fontId="42" fillId="0" borderId="5" xfId="0" applyNumberFormat="1" applyFont="1" applyBorder="1"/>
    <xf numFmtId="172" fontId="42" fillId="0" borderId="5" xfId="2" applyNumberFormat="1" applyFont="1" applyBorder="1"/>
    <xf numFmtId="0" fontId="45" fillId="0" borderId="0" xfId="0" applyFont="1" applyBorder="1" applyAlignment="1">
      <alignment horizontal="center" vertical="center" wrapText="1"/>
    </xf>
    <xf numFmtId="0" fontId="34" fillId="22" borderId="2" xfId="0" applyFont="1" applyFill="1" applyBorder="1"/>
    <xf numFmtId="0" fontId="34" fillId="16" borderId="2" xfId="0" applyFont="1" applyFill="1" applyBorder="1"/>
    <xf numFmtId="0" fontId="36" fillId="16" borderId="2" xfId="0" applyFont="1" applyFill="1" applyBorder="1"/>
    <xf numFmtId="0" fontId="35" fillId="16" borderId="2" xfId="0" applyFont="1" applyFill="1" applyBorder="1"/>
    <xf numFmtId="0" fontId="39" fillId="26" borderId="2" xfId="0" applyFont="1" applyFill="1" applyBorder="1" applyAlignment="1">
      <alignment wrapText="1"/>
    </xf>
    <xf numFmtId="0" fontId="39" fillId="26" borderId="2" xfId="0" applyFont="1" applyFill="1" applyBorder="1"/>
    <xf numFmtId="0" fontId="53" fillId="17" borderId="2" xfId="0" applyFont="1" applyFill="1" applyBorder="1" applyAlignment="1">
      <alignment horizontal="left"/>
    </xf>
    <xf numFmtId="3" fontId="0" fillId="0" borderId="2" xfId="0" applyNumberFormat="1" applyBorder="1"/>
    <xf numFmtId="172" fontId="43" fillId="20" borderId="6" xfId="0" applyNumberFormat="1" applyFont="1" applyFill="1" applyBorder="1"/>
    <xf numFmtId="172" fontId="46" fillId="22" borderId="6" xfId="0" applyNumberFormat="1" applyFont="1" applyFill="1" applyBorder="1" applyAlignment="1">
      <alignment wrapText="1"/>
    </xf>
    <xf numFmtId="0" fontId="42" fillId="0" borderId="25" xfId="0" applyFont="1" applyBorder="1"/>
    <xf numFmtId="0" fontId="42" fillId="0" borderId="3" xfId="0" applyFont="1" applyBorder="1" applyAlignment="1">
      <alignment wrapText="1"/>
    </xf>
    <xf numFmtId="0" fontId="42" fillId="0" borderId="3" xfId="0" applyFont="1" applyBorder="1"/>
    <xf numFmtId="172" fontId="42" fillId="0" borderId="3" xfId="2" applyNumberFormat="1" applyFont="1" applyBorder="1"/>
    <xf numFmtId="172" fontId="42" fillId="0" borderId="7" xfId="2" applyNumberFormat="1" applyFont="1" applyBorder="1"/>
    <xf numFmtId="0" fontId="41" fillId="16" borderId="16" xfId="0" applyFont="1" applyFill="1" applyBorder="1"/>
    <xf numFmtId="0" fontId="41" fillId="16" borderId="17" xfId="0" applyFont="1" applyFill="1" applyBorder="1" applyAlignment="1">
      <alignment wrapText="1"/>
    </xf>
    <xf numFmtId="0" fontId="41" fillId="16" borderId="17" xfId="0" applyFont="1" applyFill="1" applyBorder="1"/>
    <xf numFmtId="172" fontId="43" fillId="20" borderId="17" xfId="0" applyNumberFormat="1" applyFont="1" applyFill="1" applyBorder="1"/>
    <xf numFmtId="172" fontId="41" fillId="16" borderId="17" xfId="2" applyNumberFormat="1" applyFont="1" applyFill="1" applyBorder="1"/>
    <xf numFmtId="0" fontId="45" fillId="16" borderId="15" xfId="0" applyFont="1" applyFill="1" applyBorder="1"/>
    <xf numFmtId="172" fontId="45" fillId="16" borderId="15" xfId="2" applyNumberFormat="1" applyFont="1" applyFill="1" applyBorder="1"/>
    <xf numFmtId="0" fontId="42" fillId="0" borderId="23" xfId="0" applyFont="1" applyBorder="1"/>
    <xf numFmtId="0" fontId="42" fillId="0" borderId="6" xfId="0" applyFont="1" applyBorder="1" applyAlignment="1">
      <alignment wrapText="1"/>
    </xf>
    <xf numFmtId="0" fontId="42" fillId="0" borderId="6" xfId="0" applyFont="1" applyBorder="1"/>
    <xf numFmtId="172" fontId="42" fillId="0" borderId="6" xfId="2" applyNumberFormat="1" applyFont="1" applyBorder="1"/>
    <xf numFmtId="172" fontId="42" fillId="0" borderId="24" xfId="2" applyNumberFormat="1" applyFont="1" applyBorder="1"/>
    <xf numFmtId="172" fontId="49" fillId="27" borderId="17" xfId="2" applyNumberFormat="1" applyFont="1" applyFill="1" applyBorder="1"/>
    <xf numFmtId="172" fontId="49" fillId="27" borderId="15" xfId="2" applyNumberFormat="1" applyFont="1" applyFill="1" applyBorder="1"/>
    <xf numFmtId="0" fontId="32" fillId="0" borderId="6" xfId="0" applyFont="1" applyBorder="1" applyAlignment="1">
      <alignment horizontal="right" wrapText="1"/>
    </xf>
    <xf numFmtId="169" fontId="1" fillId="0" borderId="6" xfId="2" applyNumberFormat="1" applyFont="1" applyBorder="1"/>
    <xf numFmtId="3" fontId="0" fillId="0" borderId="13" xfId="0" applyNumberFormat="1" applyBorder="1" applyAlignment="1">
      <alignment vertical="center" wrapText="1"/>
    </xf>
    <xf numFmtId="0" fontId="63" fillId="23" borderId="3" xfId="0" applyFont="1" applyFill="1" applyBorder="1" applyAlignment="1">
      <alignment wrapText="1"/>
    </xf>
    <xf numFmtId="0" fontId="63" fillId="23" borderId="3" xfId="0" applyFont="1" applyFill="1" applyBorder="1"/>
    <xf numFmtId="0" fontId="4" fillId="2" borderId="43" xfId="0" applyFont="1" applyFill="1" applyBorder="1" applyAlignment="1">
      <alignment wrapText="1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172" fontId="0" fillId="0" borderId="3" xfId="0" applyNumberFormat="1" applyBorder="1"/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172" fontId="0" fillId="0" borderId="6" xfId="0" applyNumberFormat="1" applyBorder="1"/>
    <xf numFmtId="0" fontId="2" fillId="0" borderId="52" xfId="0" applyFont="1" applyBorder="1" applyAlignment="1">
      <alignment horizontal="center" vertical="center"/>
    </xf>
    <xf numFmtId="172" fontId="2" fillId="0" borderId="43" xfId="0" applyNumberFormat="1" applyFont="1" applyBorder="1"/>
    <xf numFmtId="0" fontId="26" fillId="17" borderId="0" xfId="0" applyFont="1" applyFill="1" applyAlignment="1">
      <alignment horizontal="center" wrapText="1"/>
    </xf>
    <xf numFmtId="41" fontId="26" fillId="17" borderId="0" xfId="5" applyNumberFormat="1" applyFont="1" applyFill="1" applyAlignment="1">
      <alignment horizontal="center" wrapText="1"/>
    </xf>
    <xf numFmtId="0" fontId="26" fillId="17" borderId="7" xfId="0" applyFont="1" applyFill="1" applyBorder="1" applyAlignment="1">
      <alignment horizontal="center" vertical="center" wrapText="1"/>
    </xf>
    <xf numFmtId="0" fontId="26" fillId="17" borderId="10" xfId="0" applyFont="1" applyFill="1" applyBorder="1" applyAlignment="1">
      <alignment horizontal="center" vertical="center" wrapText="1"/>
    </xf>
    <xf numFmtId="0" fontId="28" fillId="17" borderId="12" xfId="0" applyFont="1" applyFill="1" applyBorder="1" applyAlignment="1">
      <alignment wrapText="1"/>
    </xf>
    <xf numFmtId="0" fontId="28" fillId="17" borderId="0" xfId="0" applyFont="1" applyFill="1"/>
    <xf numFmtId="41" fontId="28" fillId="17" borderId="0" xfId="5" applyNumberFormat="1" applyFont="1" applyFill="1"/>
    <xf numFmtId="0" fontId="25" fillId="16" borderId="2" xfId="0" applyFont="1" applyFill="1" applyBorder="1" applyAlignment="1">
      <alignment horizontal="left" vertical="top" wrapText="1"/>
    </xf>
    <xf numFmtId="0" fontId="27" fillId="17" borderId="2" xfId="0" applyFont="1" applyFill="1" applyBorder="1" applyAlignment="1">
      <alignment horizontal="right" vertical="top" wrapText="1"/>
    </xf>
    <xf numFmtId="166" fontId="24" fillId="17" borderId="2" xfId="5" applyNumberFormat="1" applyFont="1" applyFill="1" applyBorder="1" applyAlignment="1">
      <alignment horizontal="center" vertical="center" wrapText="1"/>
    </xf>
    <xf numFmtId="0" fontId="84" fillId="0" borderId="2" xfId="0" applyFont="1" applyBorder="1" applyAlignment="1">
      <alignment horizontal="center" vertical="center" wrapText="1"/>
    </xf>
    <xf numFmtId="166" fontId="85" fillId="17" borderId="2" xfId="5" applyNumberFormat="1" applyFont="1" applyFill="1" applyBorder="1"/>
    <xf numFmtId="166" fontId="25" fillId="17" borderId="2" xfId="5" applyNumberFormat="1" applyFont="1" applyFill="1" applyBorder="1" applyAlignment="1">
      <alignment horizontal="right" wrapText="1"/>
    </xf>
    <xf numFmtId="166" fontId="84" fillId="17" borderId="2" xfId="5" applyNumberFormat="1" applyFont="1" applyFill="1" applyBorder="1"/>
    <xf numFmtId="0" fontId="25" fillId="17" borderId="2" xfId="0" applyFont="1" applyFill="1" applyBorder="1" applyAlignment="1">
      <alignment horizontal="left" vertical="top" wrapText="1"/>
    </xf>
    <xf numFmtId="166" fontId="86" fillId="17" borderId="2" xfId="5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166" fontId="0" fillId="0" borderId="13" xfId="0" applyNumberFormat="1" applyBorder="1"/>
    <xf numFmtId="166" fontId="2" fillId="30" borderId="13" xfId="2" applyNumberFormat="1" applyFont="1" applyFill="1" applyBorder="1"/>
    <xf numFmtId="0" fontId="2" fillId="0" borderId="18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169" fontId="0" fillId="0" borderId="13" xfId="0" applyNumberFormat="1" applyBorder="1"/>
    <xf numFmtId="170" fontId="2" fillId="0" borderId="2" xfId="4" applyNumberFormat="1" applyFont="1" applyBorder="1"/>
    <xf numFmtId="170" fontId="0" fillId="0" borderId="2" xfId="4" applyNumberFormat="1" applyFont="1" applyBorder="1"/>
    <xf numFmtId="0" fontId="0" fillId="0" borderId="21" xfId="0" applyBorder="1"/>
    <xf numFmtId="170" fontId="0" fillId="0" borderId="62" xfId="4" applyNumberFormat="1" applyFont="1" applyBorder="1"/>
    <xf numFmtId="0" fontId="23" fillId="15" borderId="2" xfId="0" applyFont="1" applyFill="1" applyBorder="1" applyAlignment="1">
      <alignment horizontal="center" vertical="center" wrapText="1"/>
    </xf>
    <xf numFmtId="172" fontId="24" fillId="15" borderId="2" xfId="4" applyNumberFormat="1" applyFont="1" applyFill="1" applyBorder="1" applyAlignment="1">
      <alignment horizontal="center" vertical="center" wrapText="1"/>
    </xf>
    <xf numFmtId="172" fontId="30" fillId="17" borderId="2" xfId="4" applyNumberFormat="1" applyFont="1" applyFill="1" applyBorder="1" applyAlignment="1">
      <alignment horizontal="right" vertical="center"/>
    </xf>
    <xf numFmtId="0" fontId="30" fillId="0" borderId="2" xfId="0" applyFont="1" applyBorder="1" applyAlignment="1">
      <alignment wrapText="1"/>
    </xf>
    <xf numFmtId="172" fontId="30" fillId="0" borderId="2" xfId="0" applyNumberFormat="1" applyFont="1" applyBorder="1" applyAlignment="1">
      <alignment vertical="center"/>
    </xf>
    <xf numFmtId="172" fontId="30" fillId="17" borderId="2" xfId="4" applyNumberFormat="1" applyFont="1" applyFill="1" applyBorder="1" applyAlignment="1">
      <alignment horizontal="right" vertical="top"/>
    </xf>
    <xf numFmtId="172" fontId="30" fillId="17" borderId="2" xfId="0" applyNumberFormat="1" applyFont="1" applyFill="1" applyBorder="1" applyAlignment="1">
      <alignment vertical="center"/>
    </xf>
    <xf numFmtId="172" fontId="0" fillId="0" borderId="2" xfId="5" applyNumberFormat="1" applyFont="1" applyBorder="1"/>
    <xf numFmtId="172" fontId="29" fillId="15" borderId="2" xfId="4" applyNumberFormat="1" applyFont="1" applyFill="1" applyBorder="1" applyAlignment="1">
      <alignment horizontal="right" vertical="top"/>
    </xf>
    <xf numFmtId="172" fontId="30" fillId="0" borderId="2" xfId="4" applyNumberFormat="1" applyFont="1" applyBorder="1" applyAlignment="1">
      <alignment horizontal="right" vertical="top"/>
    </xf>
    <xf numFmtId="172" fontId="55" fillId="15" borderId="2" xfId="4" applyNumberFormat="1" applyFont="1" applyFill="1" applyBorder="1" applyAlignment="1">
      <alignment horizontal="right" vertical="top"/>
    </xf>
    <xf numFmtId="172" fontId="55" fillId="15" borderId="2" xfId="4" applyNumberFormat="1" applyFont="1" applyFill="1" applyBorder="1"/>
    <xf numFmtId="0" fontId="0" fillId="0" borderId="3" xfId="0" applyBorder="1"/>
    <xf numFmtId="0" fontId="79" fillId="0" borderId="22" xfId="0" applyFont="1" applyBorder="1" applyAlignment="1">
      <alignment horizontal="center" vertical="center" wrapText="1"/>
    </xf>
    <xf numFmtId="0" fontId="80" fillId="0" borderId="11" xfId="0" applyFont="1" applyBorder="1" applyAlignment="1">
      <alignment horizontal="center" wrapText="1"/>
    </xf>
    <xf numFmtId="170" fontId="79" fillId="0" borderId="8" xfId="4" applyNumberFormat="1" applyFont="1" applyBorder="1" applyAlignment="1" applyProtection="1">
      <alignment horizontal="right" vertical="center" wrapText="1"/>
      <protection locked="0"/>
    </xf>
    <xf numFmtId="170" fontId="79" fillId="0" borderId="30" xfId="4" applyNumberFormat="1" applyFont="1" applyBorder="1" applyAlignment="1" applyProtection="1">
      <alignment horizontal="right" vertical="center" wrapText="1"/>
      <protection locked="0"/>
    </xf>
    <xf numFmtId="170" fontId="79" fillId="0" borderId="65" xfId="4" applyNumberFormat="1" applyFont="1" applyBorder="1" applyAlignment="1">
      <alignment horizontal="right" vertical="center" wrapText="1"/>
    </xf>
    <xf numFmtId="170" fontId="79" fillId="0" borderId="10" xfId="4" applyNumberFormat="1" applyFont="1" applyBorder="1" applyAlignment="1" applyProtection="1">
      <alignment horizontal="right" vertical="center" wrapText="1"/>
      <protection locked="0"/>
    </xf>
    <xf numFmtId="170" fontId="79" fillId="0" borderId="0" xfId="4" applyNumberFormat="1" applyFont="1" applyBorder="1" applyAlignment="1" applyProtection="1">
      <alignment horizontal="right" vertical="center" wrapText="1"/>
      <protection locked="0"/>
    </xf>
    <xf numFmtId="0" fontId="78" fillId="0" borderId="4" xfId="0" applyFont="1" applyBorder="1" applyAlignment="1">
      <alignment vertical="center" wrapText="1"/>
    </xf>
    <xf numFmtId="0" fontId="0" fillId="0" borderId="0" xfId="0" applyFill="1"/>
    <xf numFmtId="0" fontId="34" fillId="0" borderId="0" xfId="0" applyFont="1" applyFill="1"/>
    <xf numFmtId="0" fontId="35" fillId="0" borderId="0" xfId="0" applyFont="1" applyFill="1"/>
    <xf numFmtId="172" fontId="35" fillId="0" borderId="0" xfId="2" applyNumberFormat="1" applyFont="1" applyFill="1" applyBorder="1"/>
    <xf numFmtId="0" fontId="37" fillId="0" borderId="0" xfId="0" applyFont="1" applyFill="1"/>
    <xf numFmtId="3" fontId="0" fillId="0" borderId="13" xfId="0" applyNumberFormat="1" applyBorder="1"/>
    <xf numFmtId="172" fontId="47" fillId="0" borderId="0" xfId="2" applyNumberFormat="1" applyFont="1" applyFill="1" applyBorder="1"/>
    <xf numFmtId="3" fontId="34" fillId="17" borderId="13" xfId="0" applyNumberFormat="1" applyFont="1" applyFill="1" applyBorder="1"/>
    <xf numFmtId="0" fontId="0" fillId="26" borderId="13" xfId="0" applyFill="1" applyBorder="1"/>
    <xf numFmtId="0" fontId="34" fillId="0" borderId="2" xfId="0" applyFont="1" applyFill="1" applyBorder="1" applyAlignment="1">
      <alignment wrapText="1"/>
    </xf>
    <xf numFmtId="0" fontId="32" fillId="0" borderId="2" xfId="0" applyFont="1" applyFill="1" applyBorder="1"/>
    <xf numFmtId="3" fontId="0" fillId="0" borderId="13" xfId="0" applyNumberFormat="1" applyBorder="1" applyAlignment="1">
      <alignment wrapText="1"/>
    </xf>
    <xf numFmtId="3" fontId="54" fillId="17" borderId="13" xfId="0" applyNumberFormat="1" applyFont="1" applyFill="1" applyBorder="1"/>
    <xf numFmtId="3" fontId="32" fillId="0" borderId="13" xfId="0" applyNumberFormat="1" applyFont="1" applyBorder="1"/>
    <xf numFmtId="3" fontId="0" fillId="35" borderId="13" xfId="0" applyNumberFormat="1" applyFill="1" applyBorder="1"/>
    <xf numFmtId="0" fontId="53" fillId="17" borderId="12" xfId="0" applyFont="1" applyFill="1" applyBorder="1" applyAlignment="1">
      <alignment horizontal="center" vertical="center"/>
    </xf>
    <xf numFmtId="0" fontId="34" fillId="22" borderId="12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16" borderId="12" xfId="0" applyFont="1" applyFill="1" applyBorder="1" applyAlignment="1">
      <alignment horizontal="center" vertical="center"/>
    </xf>
    <xf numFmtId="0" fontId="36" fillId="16" borderId="12" xfId="0" applyFont="1" applyFill="1" applyBorder="1" applyAlignment="1">
      <alignment horizontal="center" vertical="center"/>
    </xf>
    <xf numFmtId="0" fontId="34" fillId="24" borderId="12" xfId="0" applyFont="1" applyFill="1" applyBorder="1" applyAlignment="1">
      <alignment horizontal="center" vertical="center"/>
    </xf>
    <xf numFmtId="0" fontId="34" fillId="17" borderId="12" xfId="0" applyFont="1" applyFill="1" applyBorder="1" applyAlignment="1">
      <alignment horizontal="center" vertical="center"/>
    </xf>
    <xf numFmtId="0" fontId="37" fillId="24" borderId="12" xfId="0" applyFont="1" applyFill="1" applyBorder="1" applyAlignment="1">
      <alignment horizontal="center" vertical="center"/>
    </xf>
    <xf numFmtId="0" fontId="38" fillId="26" borderId="12" xfId="0" applyFont="1" applyFill="1" applyBorder="1" applyAlignment="1">
      <alignment horizontal="center" vertical="center"/>
    </xf>
    <xf numFmtId="0" fontId="43" fillId="0" borderId="12" xfId="0" applyFont="1" applyFill="1" applyBorder="1"/>
    <xf numFmtId="0" fontId="43" fillId="0" borderId="2" xfId="0" applyFont="1" applyFill="1" applyBorder="1"/>
    <xf numFmtId="172" fontId="43" fillId="0" borderId="2" xfId="2" applyNumberFormat="1" applyFont="1" applyFill="1" applyBorder="1"/>
    <xf numFmtId="172" fontId="43" fillId="0" borderId="5" xfId="2" applyNumberFormat="1" applyFont="1" applyFill="1" applyBorder="1"/>
    <xf numFmtId="0" fontId="25" fillId="30" borderId="12" xfId="0" applyFont="1" applyFill="1" applyBorder="1" applyAlignment="1">
      <alignment horizontal="left" vertical="top" wrapText="1"/>
    </xf>
    <xf numFmtId="0" fontId="27" fillId="0" borderId="12" xfId="0" applyFont="1" applyFill="1" applyBorder="1" applyAlignment="1">
      <alignment horizontal="right" vertical="top" wrapText="1"/>
    </xf>
    <xf numFmtId="167" fontId="16" fillId="9" borderId="0" xfId="1" applyNumberFormat="1" applyFont="1" applyFill="1" applyBorder="1" applyAlignment="1" applyProtection="1">
      <alignment horizontal="right"/>
    </xf>
    <xf numFmtId="0" fontId="31" fillId="0" borderId="12" xfId="0" applyFont="1" applyBorder="1" applyAlignment="1">
      <alignment horizontal="left" vertical="top" wrapText="1"/>
    </xf>
    <xf numFmtId="172" fontId="91" fillId="0" borderId="2" xfId="0" applyNumberFormat="1" applyFont="1" applyBorder="1"/>
    <xf numFmtId="172" fontId="54" fillId="0" borderId="13" xfId="0" applyNumberFormat="1" applyFont="1" applyBorder="1"/>
    <xf numFmtId="172" fontId="91" fillId="0" borderId="13" xfId="0" applyNumberFormat="1" applyFont="1" applyBorder="1"/>
    <xf numFmtId="0" fontId="31" fillId="0" borderId="12" xfId="0" applyFont="1" applyBorder="1" applyAlignment="1">
      <alignment horizontal="right" vertical="top" wrapText="1"/>
    </xf>
    <xf numFmtId="172" fontId="54" fillId="0" borderId="2" xfId="0" applyNumberFormat="1" applyFont="1" applyBorder="1"/>
    <xf numFmtId="0" fontId="54" fillId="0" borderId="13" xfId="0" applyFont="1" applyBorder="1"/>
    <xf numFmtId="0" fontId="55" fillId="22" borderId="16" xfId="0" applyFont="1" applyFill="1" applyBorder="1" applyAlignment="1">
      <alignment horizontal="center" vertical="center" wrapText="1"/>
    </xf>
    <xf numFmtId="0" fontId="55" fillId="22" borderId="17" xfId="0" applyFont="1" applyFill="1" applyBorder="1" applyAlignment="1">
      <alignment horizontal="center" vertical="center" wrapText="1"/>
    </xf>
    <xf numFmtId="166" fontId="55" fillId="22" borderId="17" xfId="2" applyNumberFormat="1" applyFont="1" applyFill="1" applyBorder="1" applyAlignment="1">
      <alignment horizontal="center" vertical="center" wrapText="1"/>
    </xf>
    <xf numFmtId="0" fontId="92" fillId="22" borderId="18" xfId="0" applyFont="1" applyFill="1" applyBorder="1" applyAlignment="1">
      <alignment horizontal="center" vertical="center" wrapText="1"/>
    </xf>
    <xf numFmtId="172" fontId="68" fillId="0" borderId="2" xfId="0" applyNumberFormat="1" applyFont="1" applyBorder="1" applyAlignment="1">
      <alignment vertical="center"/>
    </xf>
    <xf numFmtId="172" fontId="30" fillId="0" borderId="2" xfId="4" applyNumberFormat="1" applyFont="1" applyBorder="1" applyAlignment="1">
      <alignment horizontal="right" vertical="center"/>
    </xf>
    <xf numFmtId="171" fontId="30" fillId="17" borderId="2" xfId="4" applyNumberFormat="1" applyFont="1" applyFill="1" applyBorder="1" applyAlignment="1">
      <alignment horizontal="right" vertical="center"/>
    </xf>
    <xf numFmtId="171" fontId="30" fillId="0" borderId="2" xfId="4" applyNumberFormat="1" applyFont="1" applyBorder="1" applyAlignment="1">
      <alignment horizontal="right" vertical="center"/>
    </xf>
    <xf numFmtId="172" fontId="43" fillId="26" borderId="15" xfId="0" applyNumberFormat="1" applyFont="1" applyFill="1" applyBorder="1"/>
    <xf numFmtId="3" fontId="0" fillId="20" borderId="2" xfId="0" applyNumberFormat="1" applyFill="1" applyBorder="1"/>
    <xf numFmtId="3" fontId="34" fillId="22" borderId="2" xfId="2" applyNumberFormat="1" applyFont="1" applyFill="1" applyBorder="1"/>
    <xf numFmtId="3" fontId="34" fillId="0" borderId="2" xfId="2" applyNumberFormat="1" applyFont="1" applyFill="1" applyBorder="1"/>
    <xf numFmtId="3" fontId="34" fillId="16" borderId="2" xfId="2" applyNumberFormat="1" applyFont="1" applyFill="1" applyBorder="1"/>
    <xf numFmtId="3" fontId="36" fillId="16" borderId="2" xfId="2" applyNumberFormat="1" applyFont="1" applyFill="1" applyBorder="1"/>
    <xf numFmtId="3" fontId="34" fillId="24" borderId="2" xfId="2" applyNumberFormat="1" applyFont="1" applyFill="1" applyBorder="1"/>
    <xf numFmtId="3" fontId="34" fillId="17" borderId="2" xfId="0" applyNumberFormat="1" applyFont="1" applyFill="1" applyBorder="1"/>
    <xf numFmtId="3" fontId="0" fillId="17" borderId="2" xfId="0" applyNumberFormat="1" applyFill="1" applyBorder="1"/>
    <xf numFmtId="3" fontId="32" fillId="0" borderId="2" xfId="0" applyNumberFormat="1" applyFont="1" applyBorder="1"/>
    <xf numFmtId="3" fontId="35" fillId="16" borderId="2" xfId="2" applyNumberFormat="1" applyFont="1" applyFill="1" applyBorder="1"/>
    <xf numFmtId="3" fontId="34" fillId="24" borderId="2" xfId="0" applyNumberFormat="1" applyFont="1" applyFill="1" applyBorder="1"/>
    <xf numFmtId="3" fontId="34" fillId="24" borderId="13" xfId="0" applyNumberFormat="1" applyFont="1" applyFill="1" applyBorder="1"/>
    <xf numFmtId="3" fontId="37" fillId="24" borderId="2" xfId="0" applyNumberFormat="1" applyFont="1" applyFill="1" applyBorder="1"/>
    <xf numFmtId="171" fontId="37" fillId="26" borderId="15" xfId="0" applyNumberFormat="1" applyFont="1" applyFill="1" applyBorder="1"/>
    <xf numFmtId="3" fontId="53" fillId="17" borderId="2" xfId="0" applyNumberFormat="1" applyFont="1" applyFill="1" applyBorder="1" applyAlignment="1"/>
    <xf numFmtId="172" fontId="95" fillId="26" borderId="43" xfId="0" applyNumberFormat="1" applyFont="1" applyFill="1" applyBorder="1"/>
    <xf numFmtId="171" fontId="90" fillId="20" borderId="28" xfId="0" applyNumberFormat="1" applyFont="1" applyFill="1" applyBorder="1"/>
    <xf numFmtId="171" fontId="45" fillId="26" borderId="28" xfId="2" applyNumberFormat="1" applyFont="1" applyFill="1" applyBorder="1"/>
    <xf numFmtId="172" fontId="96" fillId="0" borderId="0" xfId="0" applyNumberFormat="1" applyFont="1"/>
    <xf numFmtId="0" fontId="79" fillId="0" borderId="46" xfId="0" applyFont="1" applyBorder="1" applyAlignment="1">
      <alignment horizontal="center" vertical="center" wrapText="1"/>
    </xf>
    <xf numFmtId="170" fontId="79" fillId="0" borderId="71" xfId="4" applyNumberFormat="1" applyFont="1" applyBorder="1" applyAlignment="1">
      <alignment horizontal="right" vertical="center" wrapText="1"/>
    </xf>
    <xf numFmtId="170" fontId="79" fillId="0" borderId="72" xfId="4" applyNumberFormat="1" applyFont="1" applyBorder="1" applyAlignment="1">
      <alignment horizontal="right" vertical="center" wrapText="1"/>
    </xf>
    <xf numFmtId="16" fontId="59" fillId="0" borderId="0" xfId="0" applyNumberFormat="1" applyFont="1" applyBorder="1"/>
    <xf numFmtId="0" fontId="69" fillId="0" borderId="0" xfId="0" applyFont="1" applyBorder="1" applyAlignment="1">
      <alignment horizontal="center" vertical="center"/>
    </xf>
    <xf numFmtId="43" fontId="68" fillId="0" borderId="0" xfId="15" applyFont="1" applyBorder="1"/>
    <xf numFmtId="43" fontId="68" fillId="0" borderId="0" xfId="15" applyNumberFormat="1" applyFont="1" applyBorder="1"/>
    <xf numFmtId="173" fontId="68" fillId="0" borderId="0" xfId="15" applyNumberFormat="1" applyFont="1" applyBorder="1" applyAlignment="1">
      <alignment horizontal="center" vertical="center"/>
    </xf>
    <xf numFmtId="0" fontId="59" fillId="0" borderId="0" xfId="0" applyFont="1" applyBorder="1"/>
    <xf numFmtId="173" fontId="69" fillId="0" borderId="0" xfId="15" applyNumberFormat="1" applyFont="1" applyBorder="1" applyAlignment="1">
      <alignment horizontal="center" vertical="center"/>
    </xf>
    <xf numFmtId="16" fontId="59" fillId="0" borderId="73" xfId="0" applyNumberFormat="1" applyFont="1" applyBorder="1"/>
    <xf numFmtId="0" fontId="68" fillId="0" borderId="76" xfId="0" applyFont="1" applyBorder="1" applyAlignment="1"/>
    <xf numFmtId="16" fontId="59" fillId="0" borderId="78" xfId="0" applyNumberFormat="1" applyFont="1" applyBorder="1"/>
    <xf numFmtId="16" fontId="59" fillId="0" borderId="79" xfId="0" applyNumberFormat="1" applyFont="1" applyBorder="1"/>
    <xf numFmtId="16" fontId="59" fillId="0" borderId="51" xfId="0" applyNumberFormat="1" applyFont="1" applyBorder="1"/>
    <xf numFmtId="0" fontId="27" fillId="0" borderId="2" xfId="0" applyFont="1" applyBorder="1" applyAlignment="1">
      <alignment horizontal="left" vertical="top" wrapText="1"/>
    </xf>
    <xf numFmtId="0" fontId="58" fillId="0" borderId="0" xfId="0" applyFont="1" applyAlignment="1">
      <alignment horizontal="center" wrapText="1"/>
    </xf>
    <xf numFmtId="2" fontId="30" fillId="0" borderId="2" xfId="9" applyNumberFormat="1" applyFont="1" applyBorder="1" applyAlignment="1">
      <alignment horizontal="center" vertical="center" wrapText="1"/>
    </xf>
    <xf numFmtId="2" fontId="59" fillId="0" borderId="68" xfId="9" applyNumberFormat="1" applyFont="1" applyBorder="1" applyAlignment="1">
      <alignment horizontal="center" vertical="center" wrapText="1"/>
    </xf>
    <xf numFmtId="2" fontId="59" fillId="0" borderId="3" xfId="9" applyNumberFormat="1" applyFont="1" applyBorder="1" applyAlignment="1">
      <alignment vertical="center" wrapText="1"/>
    </xf>
    <xf numFmtId="2" fontId="0" fillId="0" borderId="3" xfId="0" applyNumberFormat="1" applyBorder="1" applyAlignment="1">
      <alignment horizontal="center" vertical="center" wrapText="1"/>
    </xf>
    <xf numFmtId="2" fontId="65" fillId="0" borderId="3" xfId="15" applyNumberFormat="1" applyFont="1" applyBorder="1" applyAlignment="1">
      <alignment vertical="center" wrapText="1"/>
    </xf>
    <xf numFmtId="2" fontId="68" fillId="0" borderId="74" xfId="15" applyNumberFormat="1" applyFont="1" applyBorder="1" applyAlignment="1">
      <alignment horizontal="center" vertical="center"/>
    </xf>
    <xf numFmtId="2" fontId="24" fillId="0" borderId="9" xfId="9" applyNumberFormat="1" applyFont="1" applyBorder="1" applyAlignment="1">
      <alignment vertical="center" wrapText="1"/>
    </xf>
    <xf numFmtId="2" fontId="65" fillId="0" borderId="2" xfId="9" applyNumberFormat="1" applyFont="1" applyBorder="1" applyAlignment="1">
      <alignment vertical="center" wrapText="1"/>
    </xf>
    <xf numFmtId="2" fontId="0" fillId="0" borderId="2" xfId="0" applyNumberFormat="1" applyBorder="1" applyAlignment="1">
      <alignment horizontal="center" vertical="center" wrapText="1"/>
    </xf>
    <xf numFmtId="2" fontId="65" fillId="0" borderId="2" xfId="15" applyNumberFormat="1" applyFont="1" applyBorder="1" applyAlignment="1">
      <alignment vertical="center" wrapText="1"/>
    </xf>
    <xf numFmtId="2" fontId="65" fillId="0" borderId="42" xfId="15" applyNumberFormat="1" applyFont="1" applyBorder="1" applyAlignment="1">
      <alignment horizontal="center" vertical="center" wrapText="1"/>
    </xf>
    <xf numFmtId="2" fontId="69" fillId="0" borderId="9" xfId="0" applyNumberFormat="1" applyFont="1" applyBorder="1" applyAlignment="1">
      <alignment horizontal="center" vertical="center"/>
    </xf>
    <xf numFmtId="2" fontId="30" fillId="0" borderId="2" xfId="15" applyNumberFormat="1" applyFont="1" applyBorder="1" applyAlignment="1">
      <alignment horizontal="center" vertical="center" wrapText="1"/>
    </xf>
    <xf numFmtId="2" fontId="65" fillId="0" borderId="2" xfId="15" applyNumberFormat="1" applyFont="1" applyBorder="1" applyAlignment="1">
      <alignment horizontal="center" vertical="center" wrapText="1"/>
    </xf>
    <xf numFmtId="2" fontId="65" fillId="0" borderId="2" xfId="9" applyNumberFormat="1" applyFont="1" applyBorder="1" applyAlignment="1">
      <alignment horizontal="center" vertical="center" wrapText="1"/>
    </xf>
    <xf numFmtId="2" fontId="24" fillId="0" borderId="77" xfId="9" applyNumberFormat="1" applyFont="1" applyBorder="1" applyAlignment="1">
      <alignment vertical="center" wrapText="1"/>
    </xf>
    <xf numFmtId="2" fontId="65" fillId="0" borderId="15" xfId="9" applyNumberFormat="1" applyFon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2" fontId="65" fillId="0" borderId="15" xfId="15" applyNumberFormat="1" applyFont="1" applyBorder="1" applyAlignment="1">
      <alignment horizontal="center" vertical="center" wrapText="1"/>
    </xf>
    <xf numFmtId="2" fontId="65" fillId="0" borderId="75" xfId="15" applyNumberFormat="1" applyFont="1" applyBorder="1" applyAlignment="1">
      <alignment horizontal="center" vertical="center" wrapText="1"/>
    </xf>
    <xf numFmtId="2" fontId="69" fillId="0" borderId="3" xfId="0" applyNumberFormat="1" applyFont="1" applyBorder="1" applyAlignment="1">
      <alignment horizontal="center" vertical="center"/>
    </xf>
    <xf numFmtId="2" fontId="68" fillId="0" borderId="3" xfId="15" applyNumberFormat="1" applyFont="1" applyBorder="1" applyAlignment="1">
      <alignment horizontal="center" vertical="center"/>
    </xf>
    <xf numFmtId="2" fontId="69" fillId="0" borderId="2" xfId="0" applyNumberFormat="1" applyFont="1" applyBorder="1" applyAlignment="1">
      <alignment horizontal="center" vertical="center"/>
    </xf>
    <xf numFmtId="2" fontId="68" fillId="0" borderId="2" xfId="15" applyNumberFormat="1" applyFont="1" applyBorder="1" applyAlignment="1">
      <alignment horizontal="center" vertical="center"/>
    </xf>
    <xf numFmtId="2" fontId="68" fillId="0" borderId="42" xfId="15" applyNumberFormat="1" applyFont="1" applyBorder="1" applyAlignment="1">
      <alignment horizontal="center" vertical="center"/>
    </xf>
    <xf numFmtId="2" fontId="69" fillId="0" borderId="15" xfId="0" applyNumberFormat="1" applyFont="1" applyBorder="1" applyAlignment="1">
      <alignment horizontal="center" vertical="center"/>
    </xf>
    <xf numFmtId="2" fontId="68" fillId="0" borderId="15" xfId="15" applyNumberFormat="1" applyFont="1" applyBorder="1" applyAlignment="1">
      <alignment horizontal="center" vertical="center"/>
    </xf>
    <xf numFmtId="2" fontId="68" fillId="0" borderId="75" xfId="15" applyNumberFormat="1" applyFont="1" applyBorder="1" applyAlignment="1">
      <alignment horizontal="center" vertical="center"/>
    </xf>
    <xf numFmtId="2" fontId="69" fillId="0" borderId="6" xfId="0" applyNumberFormat="1" applyFont="1" applyBorder="1" applyAlignment="1">
      <alignment horizontal="center" vertical="center"/>
    </xf>
    <xf numFmtId="2" fontId="68" fillId="0" borderId="6" xfId="15" applyNumberFormat="1" applyFont="1" applyBorder="1" applyAlignment="1">
      <alignment horizontal="center" vertical="center"/>
    </xf>
    <xf numFmtId="2" fontId="69" fillId="0" borderId="27" xfId="0" applyNumberFormat="1" applyFont="1" applyBorder="1" applyAlignment="1">
      <alignment horizontal="center" vertical="center"/>
    </xf>
    <xf numFmtId="2" fontId="68" fillId="0" borderId="27" xfId="15" applyNumberFormat="1" applyFont="1" applyBorder="1"/>
    <xf numFmtId="2" fontId="68" fillId="0" borderId="6" xfId="15" applyNumberFormat="1" applyFont="1" applyBorder="1"/>
    <xf numFmtId="2" fontId="68" fillId="0" borderId="15" xfId="15" applyNumberFormat="1" applyFont="1" applyBorder="1"/>
    <xf numFmtId="2" fontId="68" fillId="17" borderId="6" xfId="15" applyNumberFormat="1" applyFont="1" applyFill="1" applyBorder="1"/>
    <xf numFmtId="166" fontId="2" fillId="31" borderId="2" xfId="5" applyNumberFormat="1" applyFont="1" applyFill="1" applyBorder="1" applyAlignment="1">
      <alignment horizontal="center" vertical="center" wrapText="1"/>
    </xf>
    <xf numFmtId="0" fontId="58" fillId="0" borderId="0" xfId="0" applyFont="1" applyAlignment="1">
      <alignment horizontal="center" wrapText="1"/>
    </xf>
    <xf numFmtId="0" fontId="28" fillId="17" borderId="2" xfId="0" applyFont="1" applyFill="1" applyBorder="1" applyAlignment="1"/>
    <xf numFmtId="0" fontId="28" fillId="0" borderId="2" xfId="0" applyFont="1" applyBorder="1" applyAlignment="1"/>
    <xf numFmtId="0" fontId="26" fillId="16" borderId="2" xfId="0" applyFont="1" applyFill="1" applyBorder="1" applyAlignment="1"/>
    <xf numFmtId="4" fontId="0" fillId="0" borderId="2" xfId="2" applyNumberFormat="1" applyFont="1" applyBorder="1"/>
    <xf numFmtId="4" fontId="0" fillId="0" borderId="2" xfId="0" applyNumberFormat="1" applyBorder="1"/>
    <xf numFmtId="4" fontId="1" fillId="17" borderId="2" xfId="5" applyNumberFormat="1" applyFont="1" applyFill="1" applyBorder="1"/>
    <xf numFmtId="4" fontId="0" fillId="0" borderId="2" xfId="5" applyNumberFormat="1" applyFont="1" applyBorder="1"/>
    <xf numFmtId="4" fontId="25" fillId="17" borderId="2" xfId="5" applyNumberFormat="1" applyFont="1" applyFill="1" applyBorder="1" applyAlignment="1">
      <alignment horizontal="right" wrapText="1"/>
    </xf>
    <xf numFmtId="4" fontId="25" fillId="16" borderId="2" xfId="5" applyNumberFormat="1" applyFont="1" applyFill="1" applyBorder="1" applyAlignment="1">
      <alignment horizontal="right" wrapText="1"/>
    </xf>
    <xf numFmtId="4" fontId="88" fillId="0" borderId="2" xfId="0" applyNumberFormat="1" applyFont="1" applyBorder="1"/>
    <xf numFmtId="0" fontId="2" fillId="37" borderId="2" xfId="0" applyFont="1" applyFill="1" applyBorder="1" applyAlignment="1">
      <alignment horizontal="center" vertical="center" wrapText="1"/>
    </xf>
    <xf numFmtId="4" fontId="0" fillId="37" borderId="2" xfId="0" applyNumberFormat="1" applyFill="1" applyBorder="1"/>
    <xf numFmtId="4" fontId="2" fillId="37" borderId="2" xfId="2" applyNumberFormat="1" applyFont="1" applyFill="1" applyBorder="1"/>
    <xf numFmtId="4" fontId="97" fillId="37" borderId="2" xfId="0" applyNumberFormat="1" applyFont="1" applyFill="1" applyBorder="1"/>
    <xf numFmtId="0" fontId="2" fillId="16" borderId="2" xfId="0" applyFont="1" applyFill="1" applyBorder="1"/>
    <xf numFmtId="4" fontId="2" fillId="16" borderId="2" xfId="2" applyNumberFormat="1" applyFont="1" applyFill="1" applyBorder="1"/>
    <xf numFmtId="0" fontId="27" fillId="0" borderId="2" xfId="0" applyFont="1" applyBorder="1" applyAlignment="1">
      <alignment horizontal="left" vertical="center" wrapText="1"/>
    </xf>
    <xf numFmtId="0" fontId="25" fillId="37" borderId="2" xfId="0" applyFont="1" applyFill="1" applyBorder="1" applyAlignment="1">
      <alignment horizontal="left" vertical="top" wrapText="1"/>
    </xf>
    <xf numFmtId="0" fontId="26" fillId="37" borderId="2" xfId="0" applyFont="1" applyFill="1" applyBorder="1" applyAlignment="1"/>
    <xf numFmtId="4" fontId="25" fillId="37" borderId="2" xfId="5" applyNumberFormat="1" applyFont="1" applyFill="1" applyBorder="1" applyAlignment="1">
      <alignment horizontal="right" wrapText="1"/>
    </xf>
    <xf numFmtId="0" fontId="2" fillId="22" borderId="2" xfId="0" applyFont="1" applyFill="1" applyBorder="1" applyAlignment="1">
      <alignment wrapText="1"/>
    </xf>
    <xf numFmtId="0" fontId="2" fillId="22" borderId="2" xfId="0" applyFont="1" applyFill="1" applyBorder="1"/>
    <xf numFmtId="4" fontId="2" fillId="22" borderId="2" xfId="2" applyNumberFormat="1" applyFont="1" applyFill="1" applyBorder="1"/>
    <xf numFmtId="0" fontId="25" fillId="22" borderId="2" xfId="0" applyFont="1" applyFill="1" applyBorder="1" applyAlignment="1">
      <alignment horizontal="left" vertical="top" wrapText="1"/>
    </xf>
    <xf numFmtId="0" fontId="26" fillId="22" borderId="2" xfId="0" applyFont="1" applyFill="1" applyBorder="1" applyAlignment="1"/>
    <xf numFmtId="4" fontId="25" fillId="22" borderId="2" xfId="5" applyNumberFormat="1" applyFont="1" applyFill="1" applyBorder="1" applyAlignment="1">
      <alignment horizontal="right" wrapText="1"/>
    </xf>
    <xf numFmtId="4" fontId="2" fillId="22" borderId="2" xfId="5" applyNumberFormat="1" applyFont="1" applyFill="1" applyBorder="1"/>
    <xf numFmtId="0" fontId="26" fillId="17" borderId="2" xfId="0" applyFont="1" applyFill="1" applyBorder="1" applyAlignment="1">
      <alignment horizontal="center"/>
    </xf>
    <xf numFmtId="0" fontId="28" fillId="17" borderId="2" xfId="0" applyFont="1" applyFill="1" applyBorder="1" applyAlignment="1">
      <alignment horizontal="center"/>
    </xf>
    <xf numFmtId="0" fontId="25" fillId="17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left"/>
    </xf>
    <xf numFmtId="0" fontId="26" fillId="16" borderId="2" xfId="0" applyFont="1" applyFill="1" applyBorder="1" applyAlignment="1">
      <alignment horizontal="left"/>
    </xf>
    <xf numFmtId="4" fontId="24" fillId="17" borderId="2" xfId="5" applyNumberFormat="1" applyFont="1" applyFill="1" applyBorder="1" applyAlignment="1">
      <alignment horizontal="center" vertical="center" wrapText="1"/>
    </xf>
    <xf numFmtId="4" fontId="27" fillId="17" borderId="2" xfId="5" applyNumberFormat="1" applyFont="1" applyFill="1" applyBorder="1" applyAlignment="1">
      <alignment horizontal="right" wrapText="1"/>
    </xf>
    <xf numFmtId="166" fontId="2" fillId="37" borderId="2" xfId="5" applyNumberFormat="1" applyFont="1" applyFill="1" applyBorder="1" applyAlignment="1">
      <alignment horizontal="center" vertical="center" wrapText="1"/>
    </xf>
    <xf numFmtId="4" fontId="2" fillId="37" borderId="2" xfId="5" applyNumberFormat="1" applyFont="1" applyFill="1" applyBorder="1"/>
    <xf numFmtId="0" fontId="97" fillId="0" borderId="2" xfId="0" applyFont="1" applyBorder="1"/>
    <xf numFmtId="0" fontId="97" fillId="0" borderId="2" xfId="0" applyFont="1" applyBorder="1" applyAlignment="1">
      <alignment horizontal="left"/>
    </xf>
    <xf numFmtId="4" fontId="97" fillId="0" borderId="2" xfId="0" applyNumberFormat="1" applyFont="1" applyBorder="1"/>
    <xf numFmtId="0" fontId="25" fillId="35" borderId="2" xfId="0" applyFont="1" applyFill="1" applyBorder="1" applyAlignment="1">
      <alignment horizontal="left" vertical="top" wrapText="1"/>
    </xf>
    <xf numFmtId="0" fontId="26" fillId="35" borderId="2" xfId="0" applyFont="1" applyFill="1" applyBorder="1" applyAlignment="1">
      <alignment horizontal="left"/>
    </xf>
    <xf numFmtId="4" fontId="25" fillId="35" borderId="2" xfId="5" applyNumberFormat="1" applyFont="1" applyFill="1" applyBorder="1" applyAlignment="1">
      <alignment horizontal="right" wrapText="1"/>
    </xf>
    <xf numFmtId="0" fontId="25" fillId="20" borderId="2" xfId="0" applyFont="1" applyFill="1" applyBorder="1" applyAlignment="1">
      <alignment horizontal="left" vertical="top" wrapText="1"/>
    </xf>
    <xf numFmtId="0" fontId="26" fillId="20" borderId="2" xfId="0" applyFont="1" applyFill="1" applyBorder="1" applyAlignment="1">
      <alignment horizontal="left"/>
    </xf>
    <xf numFmtId="4" fontId="25" fillId="20" borderId="2" xfId="5" applyNumberFormat="1" applyFont="1" applyFill="1" applyBorder="1" applyAlignment="1">
      <alignment horizontal="right" wrapText="1"/>
    </xf>
    <xf numFmtId="0" fontId="25" fillId="38" borderId="2" xfId="0" applyFont="1" applyFill="1" applyBorder="1" applyAlignment="1">
      <alignment horizontal="left" vertical="top" wrapText="1"/>
    </xf>
    <xf numFmtId="0" fontId="26" fillId="38" borderId="2" xfId="0" applyFont="1" applyFill="1" applyBorder="1" applyAlignment="1">
      <alignment horizontal="left"/>
    </xf>
    <xf numFmtId="4" fontId="25" fillId="38" borderId="2" xfId="5" applyNumberFormat="1" applyFont="1" applyFill="1" applyBorder="1" applyAlignment="1">
      <alignment horizontal="right" wrapText="1"/>
    </xf>
    <xf numFmtId="4" fontId="0" fillId="38" borderId="2" xfId="0" applyNumberFormat="1" applyFill="1" applyBorder="1"/>
    <xf numFmtId="0" fontId="2" fillId="20" borderId="2" xfId="0" applyFont="1" applyFill="1" applyBorder="1" applyAlignment="1">
      <alignment wrapText="1"/>
    </xf>
    <xf numFmtId="0" fontId="2" fillId="20" borderId="2" xfId="0" applyFont="1" applyFill="1" applyBorder="1"/>
    <xf numFmtId="4" fontId="2" fillId="20" borderId="2" xfId="2" applyNumberFormat="1" applyFont="1" applyFill="1" applyBorder="1"/>
    <xf numFmtId="0" fontId="0" fillId="20" borderId="2" xfId="0" applyFill="1" applyBorder="1" applyAlignment="1">
      <alignment wrapText="1"/>
    </xf>
    <xf numFmtId="0" fontId="0" fillId="20" borderId="2" xfId="0" applyFill="1" applyBorder="1"/>
    <xf numFmtId="4" fontId="0" fillId="20" borderId="2" xfId="2" applyNumberFormat="1" applyFont="1" applyFill="1" applyBorder="1"/>
    <xf numFmtId="4" fontId="0" fillId="20" borderId="2" xfId="0" applyNumberFormat="1" applyFill="1" applyBorder="1"/>
    <xf numFmtId="0" fontId="26" fillId="35" borderId="2" xfId="0" applyFont="1" applyFill="1" applyBorder="1" applyAlignment="1"/>
    <xf numFmtId="4" fontId="2" fillId="35" borderId="2" xfId="5" applyNumberFormat="1" applyFont="1" applyFill="1" applyBorder="1"/>
    <xf numFmtId="4" fontId="0" fillId="35" borderId="2" xfId="0" applyNumberFormat="1" applyFill="1" applyBorder="1"/>
    <xf numFmtId="0" fontId="2" fillId="35" borderId="2" xfId="0" applyFont="1" applyFill="1" applyBorder="1" applyAlignment="1">
      <alignment wrapText="1"/>
    </xf>
    <xf numFmtId="0" fontId="2" fillId="35" borderId="2" xfId="0" applyFont="1" applyFill="1" applyBorder="1"/>
    <xf numFmtId="4" fontId="2" fillId="35" borderId="2" xfId="2" applyNumberFormat="1" applyFont="1" applyFill="1" applyBorder="1"/>
    <xf numFmtId="0" fontId="28" fillId="0" borderId="2" xfId="0" applyFont="1" applyFill="1" applyBorder="1" applyAlignment="1"/>
    <xf numFmtId="4" fontId="28" fillId="17" borderId="5" xfId="5" applyNumberFormat="1" applyFont="1" applyFill="1" applyBorder="1"/>
    <xf numFmtId="4" fontId="28" fillId="0" borderId="5" xfId="5" applyNumberFormat="1" applyFont="1" applyBorder="1"/>
    <xf numFmtId="4" fontId="27" fillId="17" borderId="13" xfId="5" applyNumberFormat="1" applyFont="1" applyFill="1" applyBorder="1" applyAlignment="1">
      <alignment horizontal="right" wrapText="1"/>
    </xf>
    <xf numFmtId="4" fontId="25" fillId="0" borderId="31" xfId="5" applyNumberFormat="1" applyFont="1" applyFill="1" applyBorder="1" applyAlignment="1">
      <alignment horizontal="right" wrapText="1"/>
    </xf>
    <xf numFmtId="4" fontId="0" fillId="0" borderId="31" xfId="5" applyNumberFormat="1" applyFont="1" applyBorder="1"/>
    <xf numFmtId="4" fontId="0" fillId="0" borderId="31" xfId="5" applyNumberFormat="1" applyFont="1" applyFill="1" applyBorder="1"/>
    <xf numFmtId="4" fontId="0" fillId="0" borderId="31" xfId="0" applyNumberFormat="1" applyFill="1" applyBorder="1"/>
    <xf numFmtId="4" fontId="27" fillId="0" borderId="31" xfId="5" applyNumberFormat="1" applyFont="1" applyFill="1" applyBorder="1" applyAlignment="1">
      <alignment horizontal="right" wrapText="1"/>
    </xf>
    <xf numFmtId="4" fontId="90" fillId="17" borderId="2" xfId="0" applyNumberFormat="1" applyFont="1" applyFill="1" applyBorder="1"/>
    <xf numFmtId="4" fontId="90" fillId="0" borderId="2" xfId="0" applyNumberFormat="1" applyFont="1" applyFill="1" applyBorder="1"/>
    <xf numFmtId="0" fontId="93" fillId="0" borderId="2" xfId="0" applyFont="1" applyBorder="1" applyAlignment="1">
      <alignment horizontal="center"/>
    </xf>
    <xf numFmtId="42" fontId="42" fillId="0" borderId="2" xfId="0" applyNumberFormat="1" applyFont="1" applyBorder="1"/>
    <xf numFmtId="42" fontId="42" fillId="0" borderId="2" xfId="2" applyNumberFormat="1" applyFont="1" applyBorder="1"/>
    <xf numFmtId="42" fontId="42" fillId="0" borderId="3" xfId="2" applyNumberFormat="1" applyFont="1" applyBorder="1"/>
    <xf numFmtId="42" fontId="43" fillId="0" borderId="2" xfId="2" applyNumberFormat="1" applyFont="1" applyBorder="1" applyAlignment="1">
      <alignment horizontal="right"/>
    </xf>
    <xf numFmtId="42" fontId="42" fillId="0" borderId="2" xfId="2" applyNumberFormat="1" applyFont="1" applyBorder="1" applyAlignment="1">
      <alignment horizontal="right"/>
    </xf>
    <xf numFmtId="42" fontId="43" fillId="0" borderId="2" xfId="0" applyNumberFormat="1" applyFont="1" applyBorder="1"/>
    <xf numFmtId="0" fontId="26" fillId="35" borderId="2" xfId="0" applyFont="1" applyFill="1" applyBorder="1" applyAlignment="1">
      <alignment horizontal="right"/>
    </xf>
    <xf numFmtId="42" fontId="43" fillId="35" borderId="2" xfId="1" applyNumberFormat="1" applyFont="1" applyFill="1" applyBorder="1" applyAlignment="1">
      <alignment horizontal="right"/>
    </xf>
    <xf numFmtId="42" fontId="43" fillId="35" borderId="2" xfId="2" applyNumberFormat="1" applyFont="1" applyFill="1" applyBorder="1" applyAlignment="1">
      <alignment horizontal="right"/>
    </xf>
    <xf numFmtId="0" fontId="26" fillId="20" borderId="2" xfId="0" applyFont="1" applyFill="1" applyBorder="1" applyAlignment="1">
      <alignment horizontal="right"/>
    </xf>
    <xf numFmtId="42" fontId="43" fillId="20" borderId="2" xfId="2" applyNumberFormat="1" applyFont="1" applyFill="1" applyBorder="1" applyAlignment="1">
      <alignment horizontal="right"/>
    </xf>
    <xf numFmtId="0" fontId="94" fillId="35" borderId="14" xfId="0" applyFont="1" applyFill="1" applyBorder="1" applyAlignment="1">
      <alignment horizontal="left" vertical="top" wrapText="1"/>
    </xf>
    <xf numFmtId="0" fontId="49" fillId="35" borderId="15" xfId="0" applyFont="1" applyFill="1" applyBorder="1" applyAlignment="1">
      <alignment horizontal="center"/>
    </xf>
    <xf numFmtId="166" fontId="91" fillId="35" borderId="15" xfId="2" applyNumberFormat="1" applyFont="1" applyFill="1" applyBorder="1"/>
    <xf numFmtId="0" fontId="94" fillId="20" borderId="14" xfId="0" applyFont="1" applyFill="1" applyBorder="1" applyAlignment="1">
      <alignment horizontal="left" vertical="top" wrapText="1"/>
    </xf>
    <xf numFmtId="0" fontId="49" fillId="20" borderId="15" xfId="0" applyFont="1" applyFill="1" applyBorder="1" applyAlignment="1">
      <alignment horizontal="center"/>
    </xf>
    <xf numFmtId="166" fontId="91" fillId="20" borderId="15" xfId="2" applyNumberFormat="1" applyFont="1" applyFill="1" applyBorder="1"/>
    <xf numFmtId="0" fontId="57" fillId="0" borderId="0" xfId="0" applyFont="1" applyAlignment="1">
      <alignment wrapText="1"/>
    </xf>
    <xf numFmtId="174" fontId="63" fillId="23" borderId="3" xfId="0" applyNumberFormat="1" applyFont="1" applyFill="1" applyBorder="1"/>
    <xf numFmtId="174" fontId="4" fillId="0" borderId="2" xfId="5" applyNumberFormat="1" applyFont="1" applyBorder="1"/>
    <xf numFmtId="174" fontId="4" fillId="0" borderId="2" xfId="0" applyNumberFormat="1" applyFont="1" applyBorder="1"/>
    <xf numFmtId="174" fontId="63" fillId="23" borderId="2" xfId="5" applyNumberFormat="1" applyFont="1" applyFill="1" applyBorder="1" applyAlignment="1">
      <alignment wrapText="1"/>
    </xf>
    <xf numFmtId="0" fontId="14" fillId="0" borderId="2" xfId="3" applyFont="1" applyBorder="1" applyAlignment="1">
      <alignment horizontal="left" vertical="center"/>
    </xf>
    <xf numFmtId="0" fontId="2" fillId="0" borderId="0" xfId="0" applyFont="1" applyAlignment="1">
      <alignment wrapText="1"/>
    </xf>
    <xf numFmtId="174" fontId="17" fillId="10" borderId="2" xfId="3" applyNumberFormat="1" applyFont="1" applyFill="1" applyBorder="1" applyAlignment="1">
      <alignment horizontal="right" vertical="center"/>
    </xf>
    <xf numFmtId="174" fontId="17" fillId="10" borderId="2" xfId="2" applyNumberFormat="1" applyFont="1" applyFill="1" applyBorder="1" applyAlignment="1">
      <alignment horizontal="right" vertical="center"/>
    </xf>
    <xf numFmtId="0" fontId="14" fillId="0" borderId="2" xfId="3" applyFont="1" applyBorder="1" applyAlignment="1">
      <alignment horizontal="right" vertical="center"/>
    </xf>
    <xf numFmtId="0" fontId="16" fillId="9" borderId="2" xfId="3" applyFont="1" applyFill="1" applyBorder="1" applyAlignment="1">
      <alignment horizontal="center" vertical="center" wrapText="1"/>
    </xf>
    <xf numFmtId="42" fontId="17" fillId="10" borderId="2" xfId="3" applyNumberFormat="1" applyFont="1" applyFill="1" applyBorder="1" applyAlignment="1">
      <alignment horizontal="left" vertical="center" wrapText="1"/>
    </xf>
    <xf numFmtId="0" fontId="16" fillId="11" borderId="39" xfId="3" applyFont="1" applyFill="1" applyBorder="1" applyAlignment="1">
      <alignment horizontal="center" vertical="center"/>
    </xf>
    <xf numFmtId="0" fontId="16" fillId="11" borderId="39" xfId="3" applyFont="1" applyFill="1" applyBorder="1" applyAlignment="1">
      <alignment horizontal="justify" vertical="center" wrapText="1"/>
    </xf>
    <xf numFmtId="0" fontId="16" fillId="8" borderId="39" xfId="3" applyFont="1" applyFill="1" applyBorder="1" applyAlignment="1">
      <alignment horizontal="left" vertical="center" wrapText="1"/>
    </xf>
    <xf numFmtId="0" fontId="5" fillId="17" borderId="2" xfId="0" applyFont="1" applyFill="1" applyBorder="1"/>
    <xf numFmtId="0" fontId="6" fillId="17" borderId="2" xfId="0" applyFont="1" applyFill="1" applyBorder="1"/>
    <xf numFmtId="0" fontId="7" fillId="17" borderId="2" xfId="0" applyFont="1" applyFill="1" applyBorder="1" applyAlignment="1">
      <alignment horizontal="right"/>
    </xf>
    <xf numFmtId="0" fontId="9" fillId="17" borderId="2" xfId="0" applyFont="1" applyFill="1" applyBorder="1" applyAlignment="1">
      <alignment horizontal="right"/>
    </xf>
    <xf numFmtId="0" fontId="6" fillId="30" borderId="2" xfId="0" applyFont="1" applyFill="1" applyBorder="1"/>
    <xf numFmtId="0" fontId="6" fillId="30" borderId="2" xfId="0" applyFont="1" applyFill="1" applyBorder="1" applyAlignment="1">
      <alignment horizontal="left"/>
    </xf>
    <xf numFmtId="0" fontId="6" fillId="30" borderId="2" xfId="0" applyFont="1" applyFill="1" applyBorder="1" applyAlignment="1">
      <alignment horizontal="center"/>
    </xf>
    <xf numFmtId="42" fontId="6" fillId="30" borderId="2" xfId="0" applyNumberFormat="1" applyFont="1" applyFill="1" applyBorder="1" applyAlignment="1">
      <alignment horizontal="right"/>
    </xf>
    <xf numFmtId="0" fontId="11" fillId="3" borderId="39" xfId="0" applyFont="1" applyFill="1" applyBorder="1" applyAlignment="1">
      <alignment horizontal="center" vertical="center"/>
    </xf>
    <xf numFmtId="0" fontId="11" fillId="3" borderId="39" xfId="0" applyFont="1" applyFill="1" applyBorder="1"/>
    <xf numFmtId="0" fontId="4" fillId="2" borderId="39" xfId="0" applyFont="1" applyFill="1" applyBorder="1" applyAlignment="1">
      <alignment wrapText="1"/>
    </xf>
    <xf numFmtId="0" fontId="4" fillId="2" borderId="81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15" fillId="0" borderId="9" xfId="3" applyFont="1" applyBorder="1" applyAlignment="1">
      <alignment horizontal="center"/>
    </xf>
    <xf numFmtId="0" fontId="16" fillId="8" borderId="9" xfId="3" applyFont="1" applyFill="1" applyBorder="1" applyAlignment="1">
      <alignment horizontal="left" vertical="center"/>
    </xf>
    <xf numFmtId="0" fontId="17" fillId="10" borderId="9" xfId="3" applyFont="1" applyFill="1" applyBorder="1" applyAlignment="1">
      <alignment horizontal="center" vertical="center"/>
    </xf>
    <xf numFmtId="0" fontId="16" fillId="8" borderId="66" xfId="3" applyFont="1" applyFill="1" applyBorder="1" applyAlignment="1">
      <alignment horizontal="left" vertical="center" wrapText="1"/>
    </xf>
    <xf numFmtId="0" fontId="19" fillId="8" borderId="68" xfId="3" applyFont="1" applyFill="1" applyBorder="1"/>
    <xf numFmtId="0" fontId="17" fillId="10" borderId="9" xfId="3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wrapText="1"/>
    </xf>
    <xf numFmtId="0" fontId="63" fillId="23" borderId="68" xfId="0" applyFont="1" applyFill="1" applyBorder="1"/>
    <xf numFmtId="0" fontId="4" fillId="0" borderId="9" xfId="0" applyFont="1" applyBorder="1"/>
    <xf numFmtId="0" fontId="63" fillId="23" borderId="9" xfId="0" applyFont="1" applyFill="1" applyBorder="1" applyAlignment="1">
      <alignment wrapText="1"/>
    </xf>
    <xf numFmtId="174" fontId="63" fillId="23" borderId="68" xfId="0" applyNumberFormat="1" applyFont="1" applyFill="1" applyBorder="1"/>
    <xf numFmtId="174" fontId="4" fillId="0" borderId="9" xfId="5" applyNumberFormat="1" applyFont="1" applyBorder="1"/>
    <xf numFmtId="174" fontId="4" fillId="0" borderId="9" xfId="0" applyNumberFormat="1" applyFont="1" applyBorder="1"/>
    <xf numFmtId="174" fontId="63" fillId="23" borderId="9" xfId="5" applyNumberFormat="1" applyFont="1" applyFill="1" applyBorder="1" applyAlignment="1">
      <alignment wrapText="1"/>
    </xf>
    <xf numFmtId="0" fontId="18" fillId="39" borderId="2" xfId="3" applyFont="1" applyFill="1" applyBorder="1" applyAlignment="1">
      <alignment horizontal="left"/>
    </xf>
    <xf numFmtId="0" fontId="11" fillId="4" borderId="85" xfId="0" applyFont="1" applyFill="1" applyBorder="1" applyAlignment="1">
      <alignment wrapText="1"/>
    </xf>
    <xf numFmtId="0" fontId="18" fillId="12" borderId="9" xfId="3" applyFont="1" applyFill="1" applyBorder="1" applyAlignment="1">
      <alignment horizontal="left"/>
    </xf>
    <xf numFmtId="0" fontId="16" fillId="13" borderId="9" xfId="3" applyFont="1" applyFill="1" applyBorder="1" applyAlignment="1">
      <alignment horizontal="justify" vertical="center" wrapText="1"/>
    </xf>
    <xf numFmtId="0" fontId="11" fillId="17" borderId="86" xfId="0" applyFont="1" applyFill="1" applyBorder="1" applyAlignment="1">
      <alignment horizontal="left" vertical="center"/>
    </xf>
    <xf numFmtId="0" fontId="11" fillId="17" borderId="80" xfId="0" applyFont="1" applyFill="1" applyBorder="1" applyAlignment="1">
      <alignment horizontal="left"/>
    </xf>
    <xf numFmtId="0" fontId="11" fillId="4" borderId="68" xfId="0" applyFont="1" applyFill="1" applyBorder="1" applyAlignment="1">
      <alignment horizontal="left"/>
    </xf>
    <xf numFmtId="0" fontId="4" fillId="2" borderId="10" xfId="0" applyFont="1" applyFill="1" applyBorder="1" applyAlignment="1">
      <alignment wrapText="1"/>
    </xf>
    <xf numFmtId="0" fontId="16" fillId="13" borderId="68" xfId="3" applyFont="1" applyFill="1" applyBorder="1" applyAlignment="1">
      <alignment horizontal="center" vertical="center"/>
    </xf>
    <xf numFmtId="0" fontId="16" fillId="13" borderId="68" xfId="3" applyFont="1" applyFill="1" applyBorder="1" applyAlignment="1">
      <alignment horizontal="justify" vertical="center" wrapText="1"/>
    </xf>
    <xf numFmtId="0" fontId="17" fillId="10" borderId="10" xfId="3" applyFont="1" applyFill="1" applyBorder="1" applyAlignment="1">
      <alignment horizontal="left" vertical="center" wrapText="1"/>
    </xf>
    <xf numFmtId="0" fontId="11" fillId="5" borderId="88" xfId="0" applyFont="1" applyFill="1" applyBorder="1" applyAlignment="1">
      <alignment horizontal="center" vertical="center"/>
    </xf>
    <xf numFmtId="0" fontId="11" fillId="5" borderId="89" xfId="0" applyFont="1" applyFill="1" applyBorder="1" applyAlignment="1">
      <alignment horizontal="left" vertical="center" wrapText="1"/>
    </xf>
    <xf numFmtId="0" fontId="11" fillId="17" borderId="87" xfId="0" applyFont="1" applyFill="1" applyBorder="1" applyAlignment="1">
      <alignment horizontal="left"/>
    </xf>
    <xf numFmtId="0" fontId="11" fillId="4" borderId="77" xfId="0" applyFont="1" applyFill="1" applyBorder="1" applyAlignment="1">
      <alignment horizontal="left"/>
    </xf>
    <xf numFmtId="0" fontId="19" fillId="8" borderId="77" xfId="3" applyFont="1" applyFill="1" applyBorder="1"/>
    <xf numFmtId="0" fontId="20" fillId="8" borderId="15" xfId="3" applyFont="1" applyFill="1" applyBorder="1"/>
    <xf numFmtId="0" fontId="6" fillId="17" borderId="80" xfId="0" applyFont="1" applyFill="1" applyBorder="1" applyAlignment="1">
      <alignment horizontal="right"/>
    </xf>
    <xf numFmtId="0" fontId="10" fillId="0" borderId="68" xfId="0" applyFont="1" applyBorder="1" applyAlignment="1">
      <alignment horizontal="right"/>
    </xf>
    <xf numFmtId="0" fontId="4" fillId="0" borderId="3" xfId="0" applyFont="1" applyBorder="1" applyAlignment="1">
      <alignment wrapText="1"/>
    </xf>
    <xf numFmtId="0" fontId="4" fillId="0" borderId="91" xfId="0" applyFont="1" applyBorder="1" applyAlignment="1">
      <alignment wrapText="1"/>
    </xf>
    <xf numFmtId="0" fontId="10" fillId="0" borderId="2" xfId="0" applyFont="1" applyBorder="1" applyAlignment="1">
      <alignment horizontal="center"/>
    </xf>
    <xf numFmtId="42" fontId="10" fillId="0" borderId="91" xfId="0" applyNumberFormat="1" applyFont="1" applyBorder="1"/>
    <xf numFmtId="0" fontId="11" fillId="6" borderId="82" xfId="0" applyFont="1" applyFill="1" applyBorder="1" applyAlignment="1">
      <alignment horizontal="center" vertical="center"/>
    </xf>
    <xf numFmtId="0" fontId="11" fillId="6" borderId="92" xfId="0" applyFont="1" applyFill="1" applyBorder="1" applyAlignment="1">
      <alignment horizontal="left" vertical="center"/>
    </xf>
    <xf numFmtId="0" fontId="4" fillId="2" borderId="93" xfId="0" applyFont="1" applyFill="1" applyBorder="1" applyAlignment="1">
      <alignment wrapText="1"/>
    </xf>
    <xf numFmtId="0" fontId="4" fillId="0" borderId="94" xfId="0" applyFont="1" applyBorder="1" applyAlignment="1">
      <alignment wrapText="1"/>
    </xf>
    <xf numFmtId="0" fontId="6" fillId="0" borderId="80" xfId="0" applyFont="1" applyBorder="1"/>
    <xf numFmtId="0" fontId="6" fillId="0" borderId="2" xfId="0" applyFont="1" applyBorder="1" applyAlignment="1">
      <alignment horizontal="center"/>
    </xf>
    <xf numFmtId="0" fontId="6" fillId="0" borderId="91" xfId="0" applyFont="1" applyBorder="1" applyAlignment="1">
      <alignment horizontal="center"/>
    </xf>
    <xf numFmtId="174" fontId="99" fillId="30" borderId="2" xfId="2" applyNumberFormat="1" applyFont="1" applyFill="1" applyBorder="1" applyAlignment="1">
      <alignment horizontal="right"/>
    </xf>
    <xf numFmtId="174" fontId="99" fillId="30" borderId="9" xfId="2" applyNumberFormat="1" applyFont="1" applyFill="1" applyBorder="1" applyAlignment="1">
      <alignment horizontal="right"/>
    </xf>
    <xf numFmtId="174" fontId="4" fillId="30" borderId="2" xfId="0" applyNumberFormat="1" applyFont="1" applyFill="1" applyBorder="1"/>
    <xf numFmtId="174" fontId="99" fillId="30" borderId="2" xfId="0" applyNumberFormat="1" applyFont="1" applyFill="1" applyBorder="1" applyAlignment="1">
      <alignment horizontal="right"/>
    </xf>
    <xf numFmtId="174" fontId="99" fillId="30" borderId="9" xfId="0" applyNumberFormat="1" applyFont="1" applyFill="1" applyBorder="1" applyAlignment="1">
      <alignment horizontal="right"/>
    </xf>
    <xf numFmtId="174" fontId="100" fillId="0" borderId="2" xfId="0" applyNumberFormat="1" applyFont="1" applyBorder="1" applyAlignment="1">
      <alignment horizontal="right"/>
    </xf>
    <xf numFmtId="174" fontId="100" fillId="0" borderId="9" xfId="0" applyNumberFormat="1" applyFont="1" applyBorder="1" applyAlignment="1">
      <alignment horizontal="right"/>
    </xf>
    <xf numFmtId="174" fontId="100" fillId="0" borderId="2" xfId="2" applyNumberFormat="1" applyFont="1" applyBorder="1" applyAlignment="1">
      <alignment horizontal="right"/>
    </xf>
    <xf numFmtId="174" fontId="100" fillId="0" borderId="9" xfId="2" applyNumberFormat="1" applyFont="1" applyBorder="1" applyAlignment="1">
      <alignment horizontal="right"/>
    </xf>
    <xf numFmtId="174" fontId="101" fillId="3" borderId="39" xfId="0" applyNumberFormat="1" applyFont="1" applyFill="1" applyBorder="1" applyAlignment="1">
      <alignment horizontal="right"/>
    </xf>
    <xf numFmtId="174" fontId="101" fillId="3" borderId="83" xfId="0" applyNumberFormat="1" applyFont="1" applyFill="1" applyBorder="1" applyAlignment="1">
      <alignment horizontal="right"/>
    </xf>
    <xf numFmtId="174" fontId="100" fillId="0" borderId="3" xfId="1" applyNumberFormat="1" applyFont="1" applyBorder="1" applyAlignment="1" applyProtection="1">
      <alignment horizontal="right"/>
    </xf>
    <xf numFmtId="174" fontId="100" fillId="0" borderId="68" xfId="1" applyNumberFormat="1" applyFont="1" applyBorder="1" applyAlignment="1" applyProtection="1">
      <alignment horizontal="right"/>
    </xf>
    <xf numFmtId="174" fontId="4" fillId="0" borderId="3" xfId="0" applyNumberFormat="1" applyFont="1" applyBorder="1"/>
    <xf numFmtId="174" fontId="100" fillId="0" borderId="2" xfId="1" applyNumberFormat="1" applyFont="1" applyBorder="1" applyAlignment="1" applyProtection="1">
      <alignment horizontal="right"/>
    </xf>
    <xf numFmtId="174" fontId="100" fillId="0" borderId="9" xfId="1" applyNumberFormat="1" applyFont="1" applyBorder="1" applyAlignment="1" applyProtection="1">
      <alignment horizontal="right"/>
    </xf>
    <xf numFmtId="174" fontId="101" fillId="7" borderId="2" xfId="1" applyNumberFormat="1" applyFont="1" applyFill="1" applyBorder="1" applyAlignment="1" applyProtection="1">
      <alignment horizontal="right"/>
    </xf>
    <xf numFmtId="174" fontId="101" fillId="7" borderId="9" xfId="1" applyNumberFormat="1" applyFont="1" applyFill="1" applyBorder="1" applyAlignment="1" applyProtection="1">
      <alignment horizontal="right"/>
    </xf>
    <xf numFmtId="174" fontId="101" fillId="11" borderId="39" xfId="1" applyNumberFormat="1" applyFont="1" applyFill="1" applyBorder="1" applyAlignment="1" applyProtection="1">
      <alignment horizontal="right"/>
    </xf>
    <xf numFmtId="174" fontId="101" fillId="11" borderId="83" xfId="1" applyNumberFormat="1" applyFont="1" applyFill="1" applyBorder="1" applyAlignment="1" applyProtection="1">
      <alignment horizontal="right"/>
    </xf>
    <xf numFmtId="174" fontId="99" fillId="4" borderId="95" xfId="2" applyNumberFormat="1" applyFont="1" applyFill="1" applyBorder="1" applyAlignment="1">
      <alignment horizontal="right"/>
    </xf>
    <xf numFmtId="174" fontId="99" fillId="35" borderId="44" xfId="2" applyNumberFormat="1" applyFont="1" applyFill="1" applyBorder="1" applyAlignment="1">
      <alignment horizontal="right"/>
    </xf>
    <xf numFmtId="174" fontId="101" fillId="12" borderId="3" xfId="1" applyNumberFormat="1" applyFont="1" applyFill="1" applyBorder="1" applyAlignment="1" applyProtection="1"/>
    <xf numFmtId="174" fontId="101" fillId="12" borderId="9" xfId="1" applyNumberFormat="1" applyFont="1" applyFill="1" applyBorder="1" applyAlignment="1" applyProtection="1"/>
    <xf numFmtId="174" fontId="99" fillId="4" borderId="68" xfId="2" applyNumberFormat="1" applyFont="1" applyFill="1" applyBorder="1" applyAlignment="1">
      <alignment horizontal="right"/>
    </xf>
    <xf numFmtId="174" fontId="99" fillId="4" borderId="3" xfId="2" applyNumberFormat="1" applyFont="1" applyFill="1" applyBorder="1" applyAlignment="1">
      <alignment horizontal="right"/>
    </xf>
    <xf numFmtId="174" fontId="100" fillId="0" borderId="80" xfId="2" applyNumberFormat="1" applyFont="1" applyBorder="1" applyAlignment="1">
      <alignment horizontal="right"/>
    </xf>
    <xf numFmtId="174" fontId="100" fillId="0" borderId="3" xfId="2" applyNumberFormat="1" applyFont="1" applyBorder="1" applyAlignment="1">
      <alignment horizontal="right"/>
    </xf>
    <xf numFmtId="174" fontId="101" fillId="12" borderId="15" xfId="1" applyNumberFormat="1" applyFont="1" applyFill="1" applyBorder="1" applyAlignment="1" applyProtection="1"/>
    <xf numFmtId="174" fontId="99" fillId="0" borderId="80" xfId="2" applyNumberFormat="1" applyFont="1" applyBorder="1" applyAlignment="1">
      <alignment horizontal="right"/>
    </xf>
    <xf numFmtId="174" fontId="99" fillId="0" borderId="3" xfId="2" applyNumberFormat="1" applyFont="1" applyBorder="1" applyAlignment="1">
      <alignment horizontal="right"/>
    </xf>
    <xf numFmtId="174" fontId="101" fillId="6" borderId="92" xfId="0" applyNumberFormat="1" applyFont="1" applyFill="1" applyBorder="1" applyAlignment="1">
      <alignment horizontal="right"/>
    </xf>
    <xf numFmtId="174" fontId="101" fillId="6" borderId="27" xfId="0" applyNumberFormat="1" applyFont="1" applyFill="1" applyBorder="1" applyAlignment="1">
      <alignment horizontal="right"/>
    </xf>
    <xf numFmtId="174" fontId="102" fillId="0" borderId="3" xfId="0" applyNumberFormat="1" applyFont="1" applyBorder="1"/>
    <xf numFmtId="174" fontId="102" fillId="0" borderId="2" xfId="0" applyNumberFormat="1" applyFont="1" applyBorder="1"/>
    <xf numFmtId="174" fontId="100" fillId="9" borderId="2" xfId="1" applyNumberFormat="1" applyFont="1" applyFill="1" applyBorder="1" applyAlignment="1" applyProtection="1">
      <alignment horizontal="right"/>
    </xf>
    <xf numFmtId="174" fontId="100" fillId="9" borderId="9" xfId="1" applyNumberFormat="1" applyFont="1" applyFill="1" applyBorder="1" applyAlignment="1" applyProtection="1">
      <alignment horizontal="right"/>
    </xf>
    <xf numFmtId="174" fontId="100" fillId="13" borderId="2" xfId="1" applyNumberFormat="1" applyFont="1" applyFill="1" applyBorder="1" applyAlignment="1" applyProtection="1">
      <alignment horizontal="right"/>
    </xf>
    <xf numFmtId="174" fontId="102" fillId="0" borderId="6" xfId="0" applyNumberFormat="1" applyFont="1" applyBorder="1"/>
    <xf numFmtId="174" fontId="100" fillId="13" borderId="68" xfId="1" applyNumberFormat="1" applyFont="1" applyFill="1" applyBorder="1" applyAlignment="1" applyProtection="1">
      <alignment horizontal="right"/>
    </xf>
    <xf numFmtId="174" fontId="100" fillId="13" borderId="3" xfId="1" applyNumberFormat="1" applyFont="1" applyFill="1" applyBorder="1" applyAlignment="1" applyProtection="1">
      <alignment horizontal="right"/>
    </xf>
    <xf numFmtId="174" fontId="102" fillId="0" borderId="2" xfId="0" applyNumberFormat="1" applyFont="1" applyBorder="1" applyAlignment="1">
      <alignment wrapText="1"/>
    </xf>
    <xf numFmtId="174" fontId="102" fillId="0" borderId="9" xfId="0" applyNumberFormat="1" applyFont="1" applyBorder="1" applyAlignment="1">
      <alignment wrapText="1"/>
    </xf>
    <xf numFmtId="0" fontId="42" fillId="0" borderId="2" xfId="0" applyFont="1" applyFill="1" applyBorder="1" applyAlignment="1">
      <alignment horizontal="right" wrapText="1"/>
    </xf>
    <xf numFmtId="3" fontId="42" fillId="0" borderId="2" xfId="0" applyNumberFormat="1" applyFont="1" applyFill="1" applyBorder="1"/>
    <xf numFmtId="172" fontId="42" fillId="0" borderId="2" xfId="0" applyNumberFormat="1" applyFont="1" applyFill="1" applyBorder="1"/>
    <xf numFmtId="3" fontId="42" fillId="0" borderId="2" xfId="0" applyNumberFormat="1" applyFont="1" applyBorder="1"/>
    <xf numFmtId="172" fontId="45" fillId="16" borderId="6" xfId="2" applyNumberFormat="1" applyFont="1" applyFill="1" applyBorder="1"/>
    <xf numFmtId="172" fontId="49" fillId="27" borderId="3" xfId="2" applyNumberFormat="1" applyFont="1" applyFill="1" applyBorder="1"/>
    <xf numFmtId="172" fontId="0" fillId="0" borderId="2" xfId="0" applyNumberFormat="1" applyFill="1" applyBorder="1"/>
    <xf numFmtId="0" fontId="55" fillId="14" borderId="17" xfId="0" applyFont="1" applyFill="1" applyBorder="1" applyAlignment="1">
      <alignment horizontal="center" vertical="center" wrapText="1"/>
    </xf>
    <xf numFmtId="0" fontId="27" fillId="30" borderId="12" xfId="0" applyFont="1" applyFill="1" applyBorder="1" applyAlignment="1">
      <alignment horizontal="left" vertical="center" wrapText="1"/>
    </xf>
    <xf numFmtId="0" fontId="26" fillId="30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17" borderId="2" xfId="0" applyFont="1" applyFill="1" applyBorder="1" applyAlignment="1">
      <alignment horizontal="center" vertical="center"/>
    </xf>
    <xf numFmtId="0" fontId="26" fillId="17" borderId="2" xfId="0" applyFont="1" applyFill="1" applyBorder="1" applyAlignment="1">
      <alignment horizontal="center" vertical="center"/>
    </xf>
    <xf numFmtId="0" fontId="25" fillId="30" borderId="12" xfId="0" applyFont="1" applyFill="1" applyBorder="1" applyAlignment="1">
      <alignment horizontal="left" vertical="center" wrapText="1"/>
    </xf>
    <xf numFmtId="0" fontId="89" fillId="36" borderId="14" xfId="0" applyFont="1" applyFill="1" applyBorder="1" applyAlignment="1">
      <alignment horizontal="center" vertical="center" wrapText="1"/>
    </xf>
    <xf numFmtId="0" fontId="90" fillId="36" borderId="15" xfId="0" applyFont="1" applyFill="1" applyBorder="1" applyAlignment="1">
      <alignment horizontal="center" vertical="center"/>
    </xf>
    <xf numFmtId="0" fontId="90" fillId="36" borderId="2" xfId="0" applyFont="1" applyFill="1" applyBorder="1" applyAlignment="1">
      <alignment horizontal="center" vertical="center"/>
    </xf>
    <xf numFmtId="0" fontId="89" fillId="36" borderId="12" xfId="0" applyFont="1" applyFill="1" applyBorder="1" applyAlignment="1">
      <alignment horizontal="center" vertical="center" wrapText="1"/>
    </xf>
    <xf numFmtId="0" fontId="55" fillId="14" borderId="16" xfId="0" applyFont="1" applyFill="1" applyBorder="1" applyAlignment="1">
      <alignment horizontal="center" vertical="center" wrapText="1"/>
    </xf>
    <xf numFmtId="174" fontId="2" fillId="30" borderId="2" xfId="2" applyNumberFormat="1" applyFont="1" applyFill="1" applyBorder="1"/>
    <xf numFmtId="174" fontId="0" fillId="0" borderId="2" xfId="2" applyNumberFormat="1" applyFont="1" applyBorder="1"/>
    <xf numFmtId="174" fontId="1" fillId="17" borderId="2" xfId="2" applyNumberFormat="1" applyFont="1" applyFill="1" applyBorder="1"/>
    <xf numFmtId="174" fontId="89" fillId="36" borderId="2" xfId="2" applyNumberFormat="1" applyFont="1" applyFill="1" applyBorder="1" applyAlignment="1">
      <alignment horizontal="right" wrapText="1"/>
    </xf>
    <xf numFmtId="174" fontId="25" fillId="30" borderId="2" xfId="2" applyNumberFormat="1" applyFont="1" applyFill="1" applyBorder="1" applyAlignment="1">
      <alignment horizontal="right" wrapText="1"/>
    </xf>
    <xf numFmtId="174" fontId="89" fillId="36" borderId="15" xfId="2" applyNumberFormat="1" applyFont="1" applyFill="1" applyBorder="1" applyAlignment="1">
      <alignment horizontal="right" wrapText="1"/>
    </xf>
    <xf numFmtId="0" fontId="55" fillId="18" borderId="2" xfId="0" applyFont="1" applyFill="1" applyBorder="1" applyAlignment="1">
      <alignment horizontal="center" vertical="center" wrapText="1"/>
    </xf>
    <xf numFmtId="166" fontId="55" fillId="18" borderId="2" xfId="2" applyNumberFormat="1" applyFont="1" applyFill="1" applyBorder="1" applyAlignment="1">
      <alignment horizontal="center" vertical="center" wrapText="1"/>
    </xf>
    <xf numFmtId="166" fontId="91" fillId="18" borderId="2" xfId="2" applyNumberFormat="1" applyFont="1" applyFill="1" applyBorder="1" applyAlignment="1">
      <alignment horizontal="center" vertical="center" wrapText="1"/>
    </xf>
    <xf numFmtId="3" fontId="2" fillId="20" borderId="2" xfId="0" applyNumberFormat="1" applyFont="1" applyFill="1" applyBorder="1"/>
    <xf numFmtId="3" fontId="34" fillId="0" borderId="2" xfId="0" applyNumberFormat="1" applyFont="1" applyBorder="1"/>
    <xf numFmtId="0" fontId="2" fillId="0" borderId="13" xfId="0" applyFont="1" applyBorder="1" applyAlignment="1">
      <alignment horizontal="center"/>
    </xf>
    <xf numFmtId="166" fontId="70" fillId="0" borderId="2" xfId="2" applyNumberFormat="1" applyFont="1" applyBorder="1" applyAlignment="1">
      <alignment horizontal="right" vertical="center"/>
    </xf>
    <xf numFmtId="0" fontId="70" fillId="0" borderId="3" xfId="0" applyFont="1" applyBorder="1" applyAlignment="1">
      <alignment horizontal="center"/>
    </xf>
    <xf numFmtId="166" fontId="70" fillId="0" borderId="3" xfId="2" applyNumberFormat="1" applyFont="1" applyBorder="1" applyAlignment="1">
      <alignment horizontal="right" vertical="center"/>
    </xf>
    <xf numFmtId="0" fontId="70" fillId="0" borderId="15" xfId="0" applyFont="1" applyBorder="1" applyAlignment="1">
      <alignment horizontal="center"/>
    </xf>
    <xf numFmtId="170" fontId="70" fillId="0" borderId="15" xfId="8" applyNumberFormat="1" applyFont="1" applyBorder="1" applyAlignment="1">
      <alignment horizontal="right"/>
    </xf>
    <xf numFmtId="0" fontId="70" fillId="0" borderId="39" xfId="0" applyFont="1" applyBorder="1" applyAlignment="1">
      <alignment horizontal="center"/>
    </xf>
    <xf numFmtId="166" fontId="70" fillId="0" borderId="39" xfId="2" applyNumberFormat="1" applyFont="1" applyBorder="1" applyAlignment="1">
      <alignment horizontal="right" vertical="center"/>
    </xf>
    <xf numFmtId="0" fontId="71" fillId="0" borderId="44" xfId="0" applyFont="1" applyBorder="1" applyAlignment="1">
      <alignment horizontal="center"/>
    </xf>
    <xf numFmtId="166" fontId="71" fillId="0" borderId="44" xfId="2" applyNumberFormat="1" applyFont="1" applyBorder="1" applyAlignment="1">
      <alignment horizontal="center"/>
    </xf>
    <xf numFmtId="0" fontId="0" fillId="0" borderId="0" xfId="0" applyAlignment="1"/>
    <xf numFmtId="172" fontId="47" fillId="25" borderId="5" xfId="0" applyNumberFormat="1" applyFont="1" applyFill="1" applyBorder="1"/>
    <xf numFmtId="172" fontId="49" fillId="17" borderId="0" xfId="2" applyNumberFormat="1" applyFont="1" applyFill="1" applyBorder="1"/>
    <xf numFmtId="0" fontId="0" fillId="0" borderId="2" xfId="0" applyFont="1" applyBorder="1"/>
    <xf numFmtId="170" fontId="1" fillId="0" borderId="2" xfId="4" applyNumberFormat="1" applyFont="1" applyBorder="1"/>
    <xf numFmtId="0" fontId="0" fillId="0" borderId="3" xfId="0" applyFont="1" applyBorder="1"/>
    <xf numFmtId="170" fontId="1" fillId="0" borderId="3" xfId="4" applyNumberFormat="1" applyFont="1" applyBorder="1"/>
    <xf numFmtId="0" fontId="2" fillId="0" borderId="15" xfId="0" applyFont="1" applyBorder="1"/>
    <xf numFmtId="170" fontId="2" fillId="0" borderId="15" xfId="4" applyNumberFormat="1" applyFont="1" applyBorder="1"/>
    <xf numFmtId="0" fontId="27" fillId="17" borderId="2" xfId="0" applyFont="1" applyFill="1" applyBorder="1" applyAlignment="1">
      <alignment horizontal="left" vertical="center" wrapText="1"/>
    </xf>
    <xf numFmtId="0" fontId="27" fillId="17" borderId="6" xfId="0" applyFont="1" applyFill="1" applyBorder="1" applyAlignment="1">
      <alignment horizontal="left" vertical="center" wrapText="1"/>
    </xf>
    <xf numFmtId="0" fontId="25" fillId="15" borderId="3" xfId="0" applyFont="1" applyFill="1" applyBorder="1" applyAlignment="1">
      <alignment horizontal="left" vertical="center" wrapText="1"/>
    </xf>
    <xf numFmtId="0" fontId="25" fillId="15" borderId="2" xfId="0" applyFont="1" applyFill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center" wrapText="1"/>
    </xf>
    <xf numFmtId="0" fontId="26" fillId="15" borderId="2" xfId="0" applyFont="1" applyFill="1" applyBorder="1" applyAlignment="1">
      <alignment horizontal="left" vertical="center" wrapText="1"/>
    </xf>
    <xf numFmtId="0" fontId="65" fillId="0" borderId="9" xfId="0" applyFont="1" applyBorder="1" applyAlignment="1">
      <alignment horizontal="left" vertical="center" wrapText="1"/>
    </xf>
    <xf numFmtId="0" fontId="63" fillId="35" borderId="2" xfId="0" applyFont="1" applyFill="1" applyBorder="1" applyAlignment="1">
      <alignment wrapText="1"/>
    </xf>
    <xf numFmtId="172" fontId="63" fillId="35" borderId="2" xfId="0" applyNumberFormat="1" applyFont="1" applyFill="1" applyBorder="1"/>
    <xf numFmtId="172" fontId="63" fillId="35" borderId="13" xfId="0" applyNumberFormat="1" applyFont="1" applyFill="1" applyBorder="1"/>
    <xf numFmtId="169" fontId="2" fillId="35" borderId="2" xfId="5" applyNumberFormat="1" applyFont="1" applyFill="1" applyBorder="1"/>
    <xf numFmtId="169" fontId="2" fillId="35" borderId="13" xfId="5" applyNumberFormat="1" applyFont="1" applyFill="1" applyBorder="1"/>
    <xf numFmtId="49" fontId="0" fillId="40" borderId="12" xfId="0" applyNumberFormat="1" applyFill="1" applyBorder="1"/>
    <xf numFmtId="0" fontId="0" fillId="40" borderId="2" xfId="0" applyFill="1" applyBorder="1" applyAlignment="1">
      <alignment wrapText="1"/>
    </xf>
    <xf numFmtId="169" fontId="0" fillId="40" borderId="2" xfId="5" applyNumberFormat="1" applyFont="1" applyFill="1" applyBorder="1"/>
    <xf numFmtId="169" fontId="0" fillId="40" borderId="13" xfId="0" applyNumberFormat="1" applyFill="1" applyBorder="1"/>
    <xf numFmtId="172" fontId="98" fillId="0" borderId="13" xfId="0" applyNumberFormat="1" applyFont="1" applyBorder="1"/>
    <xf numFmtId="49" fontId="63" fillId="19" borderId="12" xfId="0" applyNumberFormat="1" applyFont="1" applyFill="1" applyBorder="1" applyAlignment="1">
      <alignment horizontal="left"/>
    </xf>
    <xf numFmtId="0" fontId="4" fillId="17" borderId="12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3" fillId="0" borderId="17" xfId="0" applyFont="1" applyBorder="1" applyAlignment="1">
      <alignment horizontal="center" vertical="center"/>
    </xf>
    <xf numFmtId="172" fontId="98" fillId="17" borderId="2" xfId="0" applyNumberFormat="1" applyFont="1" applyFill="1" applyBorder="1"/>
    <xf numFmtId="172" fontId="98" fillId="0" borderId="2" xfId="0" applyNumberFormat="1" applyFont="1" applyBorder="1"/>
    <xf numFmtId="0" fontId="4" fillId="0" borderId="96" xfId="0" applyFont="1" applyBorder="1" applyAlignment="1">
      <alignment horizontal="center"/>
    </xf>
    <xf numFmtId="0" fontId="4" fillId="0" borderId="39" xfId="0" applyFont="1" applyFill="1" applyBorder="1" applyAlignment="1">
      <alignment wrapText="1"/>
    </xf>
    <xf numFmtId="172" fontId="98" fillId="0" borderId="39" xfId="0" applyNumberFormat="1" applyFont="1" applyBorder="1"/>
    <xf numFmtId="172" fontId="98" fillId="0" borderId="97" xfId="0" applyNumberFormat="1" applyFont="1" applyBorder="1"/>
    <xf numFmtId="172" fontId="103" fillId="19" borderId="2" xfId="0" applyNumberFormat="1" applyFont="1" applyFill="1" applyBorder="1"/>
    <xf numFmtId="172" fontId="103" fillId="19" borderId="13" xfId="0" applyNumberFormat="1" applyFont="1" applyFill="1" applyBorder="1"/>
    <xf numFmtId="0" fontId="62" fillId="0" borderId="17" xfId="0" applyFont="1" applyBorder="1" applyAlignment="1">
      <alignment horizontal="center" vertical="center"/>
    </xf>
    <xf numFmtId="172" fontId="98" fillId="20" borderId="46" xfId="0" applyNumberFormat="1" applyFont="1" applyFill="1" applyBorder="1"/>
    <xf numFmtId="172" fontId="98" fillId="20" borderId="84" xfId="0" applyNumberFormat="1" applyFont="1" applyFill="1" applyBorder="1"/>
    <xf numFmtId="0" fontId="2" fillId="41" borderId="2" xfId="0" applyFont="1" applyFill="1" applyBorder="1"/>
    <xf numFmtId="166" fontId="2" fillId="41" borderId="2" xfId="2" applyNumberFormat="1" applyFont="1" applyFill="1" applyBorder="1"/>
    <xf numFmtId="166" fontId="2" fillId="41" borderId="13" xfId="2" applyNumberFormat="1" applyFont="1" applyFill="1" applyBorder="1"/>
    <xf numFmtId="0" fontId="0" fillId="41" borderId="23" xfId="0" applyFill="1" applyBorder="1" applyAlignment="1">
      <alignment wrapText="1"/>
    </xf>
    <xf numFmtId="0" fontId="0" fillId="41" borderId="6" xfId="0" applyFill="1" applyBorder="1"/>
    <xf numFmtId="166" fontId="0" fillId="41" borderId="6" xfId="2" applyNumberFormat="1" applyFont="1" applyFill="1" applyBorder="1"/>
    <xf numFmtId="166" fontId="0" fillId="41" borderId="37" xfId="0" applyNumberFormat="1" applyFill="1" applyBorder="1"/>
    <xf numFmtId="0" fontId="0" fillId="30" borderId="12" xfId="0" applyFont="1" applyFill="1" applyBorder="1" applyAlignment="1">
      <alignment wrapText="1"/>
    </xf>
    <xf numFmtId="0" fontId="0" fillId="30" borderId="2" xfId="0" applyFont="1" applyFill="1" applyBorder="1"/>
    <xf numFmtId="166" fontId="1" fillId="30" borderId="2" xfId="2" applyNumberFormat="1" applyFont="1" applyFill="1" applyBorder="1"/>
    <xf numFmtId="166" fontId="1" fillId="30" borderId="13" xfId="2" applyNumberFormat="1" applyFont="1" applyFill="1" applyBorder="1"/>
    <xf numFmtId="0" fontId="2" fillId="41" borderId="12" xfId="0" applyFont="1" applyFill="1" applyBorder="1" applyAlignment="1">
      <alignment vertical="center" wrapText="1"/>
    </xf>
    <xf numFmtId="166" fontId="56" fillId="20" borderId="43" xfId="0" applyNumberFormat="1" applyFont="1" applyFill="1" applyBorder="1"/>
    <xf numFmtId="166" fontId="56" fillId="20" borderId="64" xfId="0" applyNumberFormat="1" applyFont="1" applyFill="1" applyBorder="1"/>
    <xf numFmtId="3" fontId="91" fillId="20" borderId="2" xfId="0" applyNumberFormat="1" applyFont="1" applyFill="1" applyBorder="1"/>
    <xf numFmtId="0" fontId="34" fillId="40" borderId="12" xfId="0" applyFont="1" applyFill="1" applyBorder="1" applyAlignment="1">
      <alignment horizontal="center" vertical="center"/>
    </xf>
    <xf numFmtId="0" fontId="34" fillId="40" borderId="2" xfId="0" applyFont="1" applyFill="1" applyBorder="1" applyAlignment="1">
      <alignment wrapText="1"/>
    </xf>
    <xf numFmtId="0" fontId="34" fillId="40" borderId="2" xfId="0" applyFont="1" applyFill="1" applyBorder="1"/>
    <xf numFmtId="3" fontId="34" fillId="40" borderId="2" xfId="2" applyNumberFormat="1" applyFont="1" applyFill="1" applyBorder="1"/>
    <xf numFmtId="0" fontId="36" fillId="40" borderId="12" xfId="0" applyFont="1" applyFill="1" applyBorder="1" applyAlignment="1">
      <alignment horizontal="center" vertical="center"/>
    </xf>
    <xf numFmtId="0" fontId="36" fillId="40" borderId="2" xfId="0" applyFont="1" applyFill="1" applyBorder="1" applyAlignment="1">
      <alignment wrapText="1"/>
    </xf>
    <xf numFmtId="0" fontId="36" fillId="40" borderId="2" xfId="0" applyFont="1" applyFill="1" applyBorder="1"/>
    <xf numFmtId="3" fontId="36" fillId="40" borderId="2" xfId="2" applyNumberFormat="1" applyFont="1" applyFill="1" applyBorder="1"/>
    <xf numFmtId="0" fontId="8" fillId="0" borderId="2" xfId="0" applyFont="1" applyFill="1" applyBorder="1" applyAlignment="1">
      <alignment horizontal="right"/>
    </xf>
    <xf numFmtId="0" fontId="0" fillId="24" borderId="12" xfId="0" applyFill="1" applyBorder="1" applyAlignment="1">
      <alignment horizontal="center" vertical="center"/>
    </xf>
    <xf numFmtId="0" fontId="32" fillId="24" borderId="2" xfId="0" applyFont="1" applyFill="1" applyBorder="1" applyAlignment="1">
      <alignment wrapText="1"/>
    </xf>
    <xf numFmtId="0" fontId="0" fillId="24" borderId="2" xfId="0" applyFill="1" applyBorder="1"/>
    <xf numFmtId="3" fontId="0" fillId="24" borderId="2" xfId="0" applyNumberFormat="1" applyFill="1" applyBorder="1"/>
    <xf numFmtId="3" fontId="0" fillId="24" borderId="13" xfId="0" applyNumberFormat="1" applyFill="1" applyBorder="1"/>
    <xf numFmtId="0" fontId="2" fillId="0" borderId="3" xfId="0" applyFont="1" applyBorder="1" applyAlignment="1">
      <alignment wrapText="1"/>
    </xf>
    <xf numFmtId="170" fontId="2" fillId="0" borderId="3" xfId="4" applyNumberFormat="1" applyFont="1" applyBorder="1"/>
    <xf numFmtId="172" fontId="0" fillId="0" borderId="15" xfId="0" applyNumberFormat="1" applyBorder="1"/>
    <xf numFmtId="0" fontId="26" fillId="35" borderId="12" xfId="0" applyFont="1" applyFill="1" applyBorder="1" applyAlignment="1">
      <alignment wrapText="1"/>
    </xf>
    <xf numFmtId="0" fontId="26" fillId="35" borderId="2" xfId="0" applyFont="1" applyFill="1" applyBorder="1"/>
    <xf numFmtId="4" fontId="26" fillId="35" borderId="5" xfId="5" applyNumberFormat="1" applyFont="1" applyFill="1" applyBorder="1"/>
    <xf numFmtId="0" fontId="25" fillId="35" borderId="12" xfId="0" applyFont="1" applyFill="1" applyBorder="1" applyAlignment="1">
      <alignment horizontal="left" vertical="top" wrapText="1"/>
    </xf>
    <xf numFmtId="4" fontId="25" fillId="35" borderId="31" xfId="5" applyNumberFormat="1" applyFont="1" applyFill="1" applyBorder="1" applyAlignment="1">
      <alignment horizontal="right" wrapText="1"/>
    </xf>
    <xf numFmtId="4" fontId="2" fillId="35" borderId="31" xfId="5" applyNumberFormat="1" applyFont="1" applyFill="1" applyBorder="1"/>
    <xf numFmtId="4" fontId="25" fillId="35" borderId="12" xfId="5" applyNumberFormat="1" applyFont="1" applyFill="1" applyBorder="1" applyAlignment="1">
      <alignment horizontal="right" wrapText="1"/>
    </xf>
    <xf numFmtId="0" fontId="26" fillId="37" borderId="12" xfId="0" applyFont="1" applyFill="1" applyBorder="1" applyAlignment="1">
      <alignment wrapText="1"/>
    </xf>
    <xf numFmtId="0" fontId="26" fillId="37" borderId="2" xfId="0" applyFont="1" applyFill="1" applyBorder="1"/>
    <xf numFmtId="0" fontId="28" fillId="37" borderId="14" xfId="0" applyFont="1" applyFill="1" applyBorder="1" applyAlignment="1">
      <alignment wrapText="1"/>
    </xf>
    <xf numFmtId="0" fontId="28" fillId="37" borderId="15" xfId="0" applyFont="1" applyFill="1" applyBorder="1"/>
    <xf numFmtId="4" fontId="0" fillId="37" borderId="15" xfId="2" applyNumberFormat="1" applyFont="1" applyFill="1" applyBorder="1"/>
    <xf numFmtId="0" fontId="89" fillId="37" borderId="2" xfId="0" applyFont="1" applyFill="1" applyBorder="1" applyAlignment="1">
      <alignment horizontal="left" vertical="top" wrapText="1"/>
    </xf>
    <xf numFmtId="0" fontId="90" fillId="37" borderId="2" xfId="0" applyFont="1" applyFill="1" applyBorder="1" applyAlignment="1"/>
    <xf numFmtId="4" fontId="89" fillId="37" borderId="2" xfId="5" applyNumberFormat="1" applyFont="1" applyFill="1" applyBorder="1" applyAlignment="1">
      <alignment horizontal="right" wrapText="1"/>
    </xf>
    <xf numFmtId="0" fontId="25" fillId="40" borderId="12" xfId="0" applyFont="1" applyFill="1" applyBorder="1" applyAlignment="1">
      <alignment horizontal="left" vertical="top" wrapText="1"/>
    </xf>
    <xf numFmtId="0" fontId="26" fillId="40" borderId="2" xfId="0" applyFont="1" applyFill="1" applyBorder="1" applyAlignment="1"/>
    <xf numFmtId="4" fontId="25" fillId="40" borderId="31" xfId="5" applyNumberFormat="1" applyFont="1" applyFill="1" applyBorder="1" applyAlignment="1">
      <alignment horizontal="right" wrapText="1"/>
    </xf>
    <xf numFmtId="0" fontId="26" fillId="0" borderId="2" xfId="0" applyFont="1" applyFill="1" applyBorder="1" applyAlignment="1">
      <alignment horizontal="center" vertical="center"/>
    </xf>
    <xf numFmtId="174" fontId="2" fillId="0" borderId="2" xfId="2" applyNumberFormat="1" applyFont="1" applyFill="1" applyBorder="1"/>
    <xf numFmtId="174" fontId="101" fillId="5" borderId="89" xfId="2" applyNumberFormat="1" applyFont="1" applyFill="1" applyBorder="1" applyAlignment="1">
      <alignment horizontal="right" vertical="center"/>
    </xf>
    <xf numFmtId="174" fontId="101" fillId="5" borderId="90" xfId="2" applyNumberFormat="1" applyFont="1" applyFill="1" applyBorder="1" applyAlignment="1">
      <alignment horizontal="right" vertical="center"/>
    </xf>
    <xf numFmtId="174" fontId="63" fillId="20" borderId="43" xfId="0" applyNumberFormat="1" applyFont="1" applyFill="1" applyBorder="1" applyAlignment="1">
      <alignment horizontal="right" vertical="center"/>
    </xf>
    <xf numFmtId="0" fontId="0" fillId="40" borderId="12" xfId="0" applyFill="1" applyBorder="1"/>
    <xf numFmtId="174" fontId="0" fillId="0" borderId="2" xfId="0" applyNumberFormat="1" applyBorder="1"/>
    <xf numFmtId="174" fontId="1" fillId="0" borderId="2" xfId="2" applyNumberFormat="1" applyFont="1" applyFill="1" applyBorder="1"/>
    <xf numFmtId="174" fontId="2" fillId="30" borderId="2" xfId="0" applyNumberFormat="1" applyFont="1" applyFill="1" applyBorder="1"/>
    <xf numFmtId="174" fontId="0" fillId="0" borderId="2" xfId="0" applyNumberFormat="1" applyFill="1" applyBorder="1"/>
    <xf numFmtId="49" fontId="2" fillId="35" borderId="12" xfId="0" applyNumberFormat="1" applyFont="1" applyFill="1" applyBorder="1" applyAlignment="1">
      <alignment horizontal="center"/>
    </xf>
    <xf numFmtId="49" fontId="63" fillId="35" borderId="12" xfId="0" applyNumberFormat="1" applyFont="1" applyFill="1" applyBorder="1" applyAlignment="1">
      <alignment horizontal="center"/>
    </xf>
    <xf numFmtId="16" fontId="0" fillId="0" borderId="12" xfId="0" applyNumberFormat="1" applyBorder="1" applyAlignment="1">
      <alignment horizontal="center"/>
    </xf>
    <xf numFmtId="49" fontId="2" fillId="20" borderId="25" xfId="0" applyNumberFormat="1" applyFont="1" applyFill="1" applyBorder="1"/>
    <xf numFmtId="0" fontId="2" fillId="20" borderId="3" xfId="0" applyFont="1" applyFill="1" applyBorder="1"/>
    <xf numFmtId="169" fontId="2" fillId="20" borderId="3" xfId="5" applyNumberFormat="1" applyFont="1" applyFill="1" applyBorder="1"/>
    <xf numFmtId="169" fontId="2" fillId="20" borderId="63" xfId="5" applyNumberFormat="1" applyFont="1" applyFill="1" applyBorder="1"/>
    <xf numFmtId="0" fontId="4" fillId="0" borderId="96" xfId="0" applyFont="1" applyBorder="1" applyAlignment="1">
      <alignment horizontal="right"/>
    </xf>
    <xf numFmtId="172" fontId="4" fillId="0" borderId="39" xfId="0" applyNumberFormat="1" applyFont="1" applyBorder="1"/>
    <xf numFmtId="172" fontId="0" fillId="0" borderId="97" xfId="0" applyNumberFormat="1" applyBorder="1"/>
    <xf numFmtId="49" fontId="2" fillId="0" borderId="12" xfId="0" applyNumberFormat="1" applyFont="1" applyFill="1" applyBorder="1"/>
    <xf numFmtId="0" fontId="2" fillId="0" borderId="2" xfId="0" applyFont="1" applyFill="1" applyBorder="1"/>
    <xf numFmtId="169" fontId="2" fillId="0" borderId="2" xfId="5" applyNumberFormat="1" applyFont="1" applyFill="1" applyBorder="1"/>
    <xf numFmtId="169" fontId="2" fillId="0" borderId="13" xfId="5" applyNumberFormat="1" applyFont="1" applyFill="1" applyBorder="1"/>
    <xf numFmtId="0" fontId="28" fillId="0" borderId="2" xfId="0" applyFont="1" applyFill="1" applyBorder="1" applyAlignment="1">
      <alignment horizontal="center" vertical="center"/>
    </xf>
    <xf numFmtId="174" fontId="0" fillId="0" borderId="2" xfId="2" applyNumberFormat="1" applyFont="1" applyFill="1" applyBorder="1"/>
    <xf numFmtId="0" fontId="0" fillId="0" borderId="6" xfId="0" applyBorder="1"/>
    <xf numFmtId="166" fontId="0" fillId="0" borderId="0" xfId="0" applyNumberFormat="1"/>
    <xf numFmtId="172" fontId="68" fillId="0" borderId="0" xfId="0" applyNumberFormat="1" applyFont="1"/>
    <xf numFmtId="172" fontId="42" fillId="0" borderId="2" xfId="2" applyNumberFormat="1" applyFont="1" applyFill="1" applyBorder="1"/>
    <xf numFmtId="0" fontId="27" fillId="0" borderId="12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left" vertical="top" wrapText="1"/>
    </xf>
    <xf numFmtId="171" fontId="85" fillId="17" borderId="2" xfId="5" applyNumberFormat="1" applyFont="1" applyFill="1" applyBorder="1"/>
    <xf numFmtId="0" fontId="4" fillId="0" borderId="23" xfId="0" applyFont="1" applyBorder="1" applyAlignment="1">
      <alignment horizontal="center"/>
    </xf>
    <xf numFmtId="0" fontId="4" fillId="0" borderId="6" xfId="0" applyFont="1" applyFill="1" applyBorder="1" applyAlignment="1">
      <alignment wrapText="1"/>
    </xf>
    <xf numFmtId="172" fontId="98" fillId="0" borderId="6" xfId="0" applyNumberFormat="1" applyFont="1" applyBorder="1"/>
    <xf numFmtId="172" fontId="98" fillId="0" borderId="37" xfId="0" applyNumberFormat="1" applyFont="1" applyBorder="1"/>
    <xf numFmtId="42" fontId="0" fillId="0" borderId="2" xfId="0" applyNumberFormat="1" applyBorder="1"/>
    <xf numFmtId="166" fontId="0" fillId="0" borderId="2" xfId="2" quotePrefix="1" applyNumberFormat="1" applyFont="1" applyBorder="1"/>
    <xf numFmtId="174" fontId="101" fillId="4" borderId="3" xfId="2" applyNumberFormat="1" applyFont="1" applyFill="1" applyBorder="1" applyAlignment="1">
      <alignment horizontal="right"/>
    </xf>
    <xf numFmtId="174" fontId="63" fillId="35" borderId="67" xfId="0" applyNumberFormat="1" applyFont="1" applyFill="1" applyBorder="1"/>
    <xf numFmtId="0" fontId="63" fillId="36" borderId="2" xfId="0" applyFont="1" applyFill="1" applyBorder="1" applyAlignment="1">
      <alignment wrapText="1"/>
    </xf>
    <xf numFmtId="0" fontId="0" fillId="36" borderId="9" xfId="0" applyFill="1" applyBorder="1"/>
    <xf numFmtId="0" fontId="0" fillId="36" borderId="2" xfId="0" applyFill="1" applyBorder="1"/>
    <xf numFmtId="174" fontId="4" fillId="36" borderId="2" xfId="2" applyNumberFormat="1" applyFont="1" applyFill="1" applyBorder="1"/>
    <xf numFmtId="174" fontId="63" fillId="36" borderId="3" xfId="0" applyNumberFormat="1" applyFont="1" applyFill="1" applyBorder="1" applyAlignment="1">
      <alignment horizontal="right"/>
    </xf>
    <xf numFmtId="0" fontId="57" fillId="0" borderId="0" xfId="0" applyFont="1" applyAlignment="1">
      <alignment horizontal="left" wrapText="1"/>
    </xf>
    <xf numFmtId="174" fontId="63" fillId="36" borderId="9" xfId="2" applyNumberFormat="1" applyFont="1" applyFill="1" applyBorder="1"/>
    <xf numFmtId="0" fontId="4" fillId="0" borderId="15" xfId="0" applyFont="1" applyBorder="1" applyAlignment="1">
      <alignment wrapText="1"/>
    </xf>
    <xf numFmtId="0" fontId="85" fillId="0" borderId="77" xfId="0" applyFont="1" applyBorder="1"/>
    <xf numFmtId="0" fontId="85" fillId="0" borderId="15" xfId="0" applyFont="1" applyBorder="1"/>
    <xf numFmtId="166" fontId="4" fillId="0" borderId="15" xfId="2" applyNumberFormat="1" applyFont="1" applyBorder="1"/>
    <xf numFmtId="174" fontId="4" fillId="0" borderId="77" xfId="2" applyNumberFormat="1" applyFont="1" applyBorder="1"/>
    <xf numFmtId="174" fontId="4" fillId="0" borderId="84" xfId="0" applyNumberFormat="1" applyFont="1" applyBorder="1"/>
    <xf numFmtId="0" fontId="2" fillId="0" borderId="0" xfId="0" applyFont="1" applyAlignment="1">
      <alignment vertical="center" wrapText="1"/>
    </xf>
    <xf numFmtId="172" fontId="2" fillId="0" borderId="3" xfId="0" applyNumberFormat="1" applyFont="1" applyBorder="1"/>
    <xf numFmtId="172" fontId="2" fillId="0" borderId="2" xfId="0" applyNumberFormat="1" applyFont="1" applyBorder="1"/>
    <xf numFmtId="172" fontId="2" fillId="0" borderId="6" xfId="0" applyNumberFormat="1" applyFont="1" applyBorder="1"/>
    <xf numFmtId="172" fontId="0" fillId="0" borderId="27" xfId="0" applyNumberFormat="1" applyBorder="1"/>
    <xf numFmtId="0" fontId="0" fillId="0" borderId="27" xfId="0" applyBorder="1" applyAlignment="1">
      <alignment wrapText="1"/>
    </xf>
    <xf numFmtId="0" fontId="84" fillId="0" borderId="43" xfId="0" applyFont="1" applyBorder="1" applyAlignment="1">
      <alignment horizontal="left" vertical="center"/>
    </xf>
    <xf numFmtId="0" fontId="5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7" fillId="0" borderId="0" xfId="0" applyFont="1" applyAlignment="1">
      <alignment horizontal="left" wrapText="1"/>
    </xf>
    <xf numFmtId="0" fontId="23" fillId="15" borderId="6" xfId="0" applyFont="1" applyFill="1" applyBorder="1" applyAlignment="1">
      <alignment horizontal="center" vertical="center"/>
    </xf>
    <xf numFmtId="0" fontId="23" fillId="15" borderId="3" xfId="0" applyFont="1" applyFill="1" applyBorder="1" applyAlignment="1">
      <alignment horizontal="center" vertical="center"/>
    </xf>
    <xf numFmtId="0" fontId="24" fillId="15" borderId="6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170" fontId="24" fillId="15" borderId="5" xfId="4" applyNumberFormat="1" applyFont="1" applyFill="1" applyBorder="1" applyAlignment="1">
      <alignment horizontal="center" vertical="center" wrapText="1"/>
    </xf>
    <xf numFmtId="170" fontId="24" fillId="15" borderId="9" xfId="4" applyNumberFormat="1" applyFont="1" applyFill="1" applyBorder="1" applyAlignment="1">
      <alignment horizontal="center" vertical="center" wrapText="1"/>
    </xf>
    <xf numFmtId="0" fontId="23" fillId="15" borderId="5" xfId="0" applyFont="1" applyFill="1" applyBorder="1" applyAlignment="1">
      <alignment horizontal="center"/>
    </xf>
    <xf numFmtId="0" fontId="23" fillId="15" borderId="8" xfId="0" applyFont="1" applyFill="1" applyBorder="1" applyAlignment="1">
      <alignment horizontal="center"/>
    </xf>
    <xf numFmtId="0" fontId="23" fillId="15" borderId="9" xfId="0" applyFont="1" applyFill="1" applyBorder="1" applyAlignment="1">
      <alignment horizontal="center"/>
    </xf>
    <xf numFmtId="0" fontId="23" fillId="15" borderId="4" xfId="0" applyFont="1" applyFill="1" applyBorder="1" applyAlignment="1">
      <alignment horizontal="center"/>
    </xf>
    <xf numFmtId="0" fontId="23" fillId="15" borderId="0" xfId="0" applyFont="1" applyFill="1" applyBorder="1" applyAlignment="1">
      <alignment horizontal="center"/>
    </xf>
    <xf numFmtId="170" fontId="24" fillId="15" borderId="4" xfId="4" applyNumberFormat="1" applyFont="1" applyFill="1" applyBorder="1" applyAlignment="1">
      <alignment horizontal="center" vertical="center" wrapText="1"/>
    </xf>
    <xf numFmtId="170" fontId="24" fillId="15" borderId="0" xfId="4" applyNumberFormat="1" applyFont="1" applyFill="1" applyBorder="1" applyAlignment="1">
      <alignment horizontal="center" vertical="center" wrapText="1"/>
    </xf>
    <xf numFmtId="170" fontId="24" fillId="15" borderId="6" xfId="4" applyNumberFormat="1" applyFont="1" applyFill="1" applyBorder="1" applyAlignment="1">
      <alignment horizontal="center" vertical="center" wrapText="1"/>
    </xf>
    <xf numFmtId="170" fontId="24" fillId="15" borderId="3" xfId="4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23" fillId="15" borderId="2" xfId="0" applyFont="1" applyFill="1" applyBorder="1" applyAlignment="1">
      <alignment horizontal="center"/>
    </xf>
    <xf numFmtId="0" fontId="63" fillId="23" borderId="54" xfId="0" applyFont="1" applyFill="1" applyBorder="1" applyAlignment="1">
      <alignment horizontal="center" vertical="center"/>
    </xf>
    <xf numFmtId="0" fontId="63" fillId="23" borderId="53" xfId="0" applyFont="1" applyFill="1" applyBorder="1" applyAlignment="1">
      <alignment horizontal="center" vertical="center"/>
    </xf>
    <xf numFmtId="0" fontId="63" fillId="23" borderId="25" xfId="0" applyFont="1" applyFill="1" applyBorder="1" applyAlignment="1">
      <alignment horizontal="center" vertical="center"/>
    </xf>
    <xf numFmtId="0" fontId="63" fillId="36" borderId="23" xfId="0" applyFont="1" applyFill="1" applyBorder="1" applyAlignment="1">
      <alignment horizontal="center" vertical="center"/>
    </xf>
    <xf numFmtId="0" fontId="63" fillId="36" borderId="4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14" fillId="0" borderId="3" xfId="3" applyFont="1" applyBorder="1" applyAlignment="1">
      <alignment horizontal="left" vertical="center"/>
    </xf>
    <xf numFmtId="0" fontId="14" fillId="0" borderId="2" xfId="3" applyFont="1" applyBorder="1" applyAlignment="1">
      <alignment horizontal="left" vertical="center"/>
    </xf>
    <xf numFmtId="0" fontId="12" fillId="20" borderId="52" xfId="0" applyFont="1" applyFill="1" applyBorder="1" applyAlignment="1">
      <alignment horizontal="center" vertical="center" wrapText="1"/>
    </xf>
    <xf numFmtId="0" fontId="12" fillId="20" borderId="43" xfId="0" applyFont="1" applyFill="1" applyBorder="1" applyAlignment="1">
      <alignment horizontal="center" vertical="center" wrapText="1"/>
    </xf>
    <xf numFmtId="0" fontId="21" fillId="15" borderId="2" xfId="0" applyFont="1" applyFill="1" applyBorder="1" applyAlignment="1">
      <alignment horizontal="center" vertical="center" wrapText="1"/>
    </xf>
    <xf numFmtId="0" fontId="21" fillId="15" borderId="2" xfId="0" applyFont="1" applyFill="1" applyBorder="1" applyAlignment="1">
      <alignment horizontal="center" vertical="center"/>
    </xf>
    <xf numFmtId="0" fontId="22" fillId="15" borderId="2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7" fillId="0" borderId="2" xfId="0" applyFont="1" applyBorder="1" applyAlignment="1">
      <alignment horizontal="left" vertical="top" wrapText="1"/>
    </xf>
    <xf numFmtId="0" fontId="57" fillId="0" borderId="0" xfId="0" applyFont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72" fontId="2" fillId="0" borderId="17" xfId="0" applyNumberFormat="1" applyFont="1" applyBorder="1" applyAlignment="1">
      <alignment horizontal="center" vertical="center" wrapText="1"/>
    </xf>
    <xf numFmtId="172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90" fillId="17" borderId="2" xfId="0" applyFont="1" applyFill="1" applyBorder="1" applyAlignment="1">
      <alignment horizontal="center"/>
    </xf>
    <xf numFmtId="0" fontId="26" fillId="17" borderId="54" xfId="0" applyFont="1" applyFill="1" applyBorder="1" applyAlignment="1">
      <alignment horizontal="center" vertical="center" wrapText="1"/>
    </xf>
    <xf numFmtId="0" fontId="26" fillId="17" borderId="25" xfId="0" applyFont="1" applyFill="1" applyBorder="1" applyAlignment="1">
      <alignment horizontal="center" vertical="center" wrapText="1"/>
    </xf>
    <xf numFmtId="0" fontId="26" fillId="17" borderId="28" xfId="0" applyFont="1" applyFill="1" applyBorder="1" applyAlignment="1">
      <alignment horizontal="center" vertical="center"/>
    </xf>
    <xf numFmtId="0" fontId="26" fillId="17" borderId="3" xfId="0" applyFont="1" applyFill="1" applyBorder="1" applyAlignment="1">
      <alignment horizontal="center" vertical="center"/>
    </xf>
    <xf numFmtId="0" fontId="26" fillId="17" borderId="19" xfId="0" applyFont="1" applyFill="1" applyBorder="1" applyAlignment="1">
      <alignment horizontal="center" vertical="center" wrapText="1"/>
    </xf>
    <xf numFmtId="0" fontId="26" fillId="17" borderId="32" xfId="0" applyFont="1" applyFill="1" applyBorder="1" applyAlignment="1">
      <alignment horizontal="center" vertical="center" wrapText="1"/>
    </xf>
    <xf numFmtId="166" fontId="2" fillId="37" borderId="2" xfId="5" applyNumberFormat="1" applyFont="1" applyFill="1" applyBorder="1" applyAlignment="1">
      <alignment horizontal="center" vertical="center" wrapText="1"/>
    </xf>
    <xf numFmtId="0" fontId="58" fillId="0" borderId="0" xfId="0" applyFont="1" applyAlignment="1">
      <alignment horizontal="center" wrapText="1"/>
    </xf>
    <xf numFmtId="166" fontId="2" fillId="31" borderId="2" xfId="5" applyNumberFormat="1" applyFont="1" applyFill="1" applyBorder="1" applyAlignment="1">
      <alignment horizontal="center" vertical="center" wrapText="1"/>
    </xf>
    <xf numFmtId="166" fontId="2" fillId="31" borderId="5" xfId="5" applyNumberFormat="1" applyFont="1" applyFill="1" applyBorder="1" applyAlignment="1">
      <alignment horizontal="center" vertical="center" wrapText="1"/>
    </xf>
    <xf numFmtId="166" fontId="2" fillId="31" borderId="9" xfId="5" applyNumberFormat="1" applyFont="1" applyFill="1" applyBorder="1" applyAlignment="1">
      <alignment horizontal="center" vertical="center" wrapText="1"/>
    </xf>
    <xf numFmtId="0" fontId="24" fillId="17" borderId="2" xfId="0" applyFont="1" applyFill="1" applyBorder="1" applyAlignment="1">
      <alignment horizontal="center" vertical="center" wrapText="1"/>
    </xf>
    <xf numFmtId="166" fontId="84" fillId="17" borderId="5" xfId="5" applyNumberFormat="1" applyFont="1" applyFill="1" applyBorder="1" applyAlignment="1">
      <alignment horizontal="center" vertical="center"/>
    </xf>
    <xf numFmtId="166" fontId="84" fillId="17" borderId="8" xfId="5" applyNumberFormat="1" applyFont="1" applyFill="1" applyBorder="1" applyAlignment="1">
      <alignment horizontal="center" vertical="center"/>
    </xf>
    <xf numFmtId="0" fontId="84" fillId="0" borderId="2" xfId="0" applyFont="1" applyBorder="1" applyAlignment="1">
      <alignment horizontal="center" vertical="center"/>
    </xf>
    <xf numFmtId="166" fontId="84" fillId="17" borderId="5" xfId="5" applyNumberFormat="1" applyFont="1" applyFill="1" applyBorder="1" applyAlignment="1">
      <alignment horizontal="center" vertical="center" wrapText="1"/>
    </xf>
    <xf numFmtId="166" fontId="84" fillId="17" borderId="9" xfId="5" applyNumberFormat="1" applyFont="1" applyFill="1" applyBorder="1" applyAlignment="1">
      <alignment horizontal="center" vertical="center" wrapText="1"/>
    </xf>
    <xf numFmtId="166" fontId="2" fillId="17" borderId="2" xfId="5" applyNumberFormat="1" applyFont="1" applyFill="1" applyBorder="1" applyAlignment="1">
      <alignment horizontal="center" vertical="center" wrapText="1"/>
    </xf>
    <xf numFmtId="0" fontId="0" fillId="37" borderId="2" xfId="0" applyFill="1" applyBorder="1" applyAlignment="1">
      <alignment horizontal="center" vertical="center"/>
    </xf>
    <xf numFmtId="0" fontId="87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56" fillId="20" borderId="98" xfId="0" applyFont="1" applyFill="1" applyBorder="1" applyAlignment="1">
      <alignment horizontal="center" vertical="center"/>
    </xf>
    <xf numFmtId="0" fontId="56" fillId="20" borderId="71" xfId="0" applyFont="1" applyFill="1" applyBorder="1" applyAlignment="1">
      <alignment horizontal="center" vertical="center"/>
    </xf>
    <xf numFmtId="49" fontId="64" fillId="0" borderId="0" xfId="0" applyNumberFormat="1" applyFont="1" applyAlignment="1">
      <alignment horizontal="center" wrapText="1"/>
    </xf>
    <xf numFmtId="0" fontId="104" fillId="20" borderId="47" xfId="0" applyFont="1" applyFill="1" applyBorder="1" applyAlignment="1">
      <alignment horizontal="center" vertical="center"/>
    </xf>
    <xf numFmtId="0" fontId="104" fillId="20" borderId="46" xfId="0" applyFont="1" applyFill="1" applyBorder="1" applyAlignment="1">
      <alignment horizontal="center" vertical="center"/>
    </xf>
    <xf numFmtId="49" fontId="64" fillId="0" borderId="0" xfId="0" applyNumberFormat="1" applyFont="1" applyAlignment="1">
      <alignment horizontal="center" vertical="center" wrapText="1"/>
    </xf>
    <xf numFmtId="0" fontId="9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29" fillId="15" borderId="6" xfId="0" applyFont="1" applyFill="1" applyBorder="1" applyAlignment="1">
      <alignment horizontal="center" vertical="center" wrapText="1"/>
    </xf>
    <xf numFmtId="0" fontId="29" fillId="15" borderId="27" xfId="0" applyFont="1" applyFill="1" applyBorder="1" applyAlignment="1">
      <alignment horizontal="center" vertical="center" wrapText="1"/>
    </xf>
    <xf numFmtId="0" fontId="29" fillId="15" borderId="3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center" vertical="center" wrapText="1"/>
    </xf>
    <xf numFmtId="0" fontId="2" fillId="21" borderId="2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2" xfId="0" applyFont="1" applyFill="1" applyBorder="1" applyAlignment="1">
      <alignment horizontal="center" vertical="center" wrapText="1"/>
    </xf>
    <xf numFmtId="0" fontId="29" fillId="15" borderId="2" xfId="0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 wrapText="1"/>
    </xf>
    <xf numFmtId="0" fontId="2" fillId="28" borderId="3" xfId="0" applyFont="1" applyFill="1" applyBorder="1" applyAlignment="1">
      <alignment horizontal="center" vertical="center" wrapText="1"/>
    </xf>
    <xf numFmtId="0" fontId="2" fillId="28" borderId="5" xfId="0" applyFont="1" applyFill="1" applyBorder="1" applyAlignment="1">
      <alignment horizontal="center" wrapText="1"/>
    </xf>
    <xf numFmtId="0" fontId="2" fillId="28" borderId="9" xfId="0" applyFont="1" applyFill="1" applyBorder="1" applyAlignment="1">
      <alignment horizontal="center" wrapText="1"/>
    </xf>
    <xf numFmtId="0" fontId="2" fillId="21" borderId="5" xfId="0" applyFont="1" applyFill="1" applyBorder="1" applyAlignment="1">
      <alignment horizontal="center" wrapText="1"/>
    </xf>
    <xf numFmtId="0" fontId="2" fillId="21" borderId="9" xfId="0" applyFont="1" applyFill="1" applyBorder="1" applyAlignment="1">
      <alignment horizontal="center" wrapText="1"/>
    </xf>
    <xf numFmtId="0" fontId="2" fillId="21" borderId="6" xfId="0" applyFont="1" applyFill="1" applyBorder="1" applyAlignment="1">
      <alignment horizontal="center" vertical="center" wrapText="1"/>
    </xf>
    <xf numFmtId="0" fontId="2" fillId="21" borderId="3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 wrapText="1"/>
    </xf>
    <xf numFmtId="0" fontId="2" fillId="16" borderId="10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wrapText="1"/>
    </xf>
    <xf numFmtId="0" fontId="2" fillId="15" borderId="4" xfId="0" applyFont="1" applyFill="1" applyBorder="1" applyAlignment="1">
      <alignment horizontal="center" wrapText="1"/>
    </xf>
    <xf numFmtId="0" fontId="35" fillId="0" borderId="0" xfId="0" applyFont="1" applyAlignment="1">
      <alignment horizontal="center" wrapText="1"/>
    </xf>
    <xf numFmtId="169" fontId="0" fillId="0" borderId="0" xfId="2" applyNumberFormat="1" applyFont="1" applyBorder="1" applyAlignment="1">
      <alignment horizontal="center"/>
    </xf>
    <xf numFmtId="169" fontId="1" fillId="0" borderId="0" xfId="2" applyNumberFormat="1" applyFont="1" applyBorder="1" applyAlignment="1">
      <alignment horizontal="center"/>
    </xf>
    <xf numFmtId="169" fontId="41" fillId="20" borderId="2" xfId="2" applyNumberFormat="1" applyFont="1" applyFill="1" applyBorder="1" applyAlignment="1">
      <alignment horizontal="center" vertical="center"/>
    </xf>
    <xf numFmtId="0" fontId="41" fillId="20" borderId="17" xfId="0" applyFont="1" applyFill="1" applyBorder="1" applyAlignment="1">
      <alignment horizontal="center" vertical="center"/>
    </xf>
    <xf numFmtId="169" fontId="41" fillId="25" borderId="17" xfId="2" applyNumberFormat="1" applyFont="1" applyFill="1" applyBorder="1" applyAlignment="1">
      <alignment horizontal="center" vertical="center" wrapText="1"/>
    </xf>
    <xf numFmtId="169" fontId="47" fillId="25" borderId="17" xfId="2" applyNumberFormat="1" applyFont="1" applyFill="1" applyBorder="1" applyAlignment="1">
      <alignment horizontal="center" vertical="center" wrapText="1"/>
    </xf>
    <xf numFmtId="169" fontId="47" fillId="25" borderId="18" xfId="2" applyNumberFormat="1" applyFont="1" applyFill="1" applyBorder="1" applyAlignment="1">
      <alignment horizontal="center" vertical="center" wrapText="1"/>
    </xf>
    <xf numFmtId="0" fontId="2" fillId="25" borderId="13" xfId="0" applyFont="1" applyFill="1" applyBorder="1" applyAlignment="1">
      <alignment horizontal="center" vertical="center"/>
    </xf>
    <xf numFmtId="169" fontId="41" fillId="25" borderId="2" xfId="2" applyNumberFormat="1" applyFont="1" applyFill="1" applyBorder="1" applyAlignment="1">
      <alignment horizontal="center" vertical="center"/>
    </xf>
    <xf numFmtId="0" fontId="51" fillId="0" borderId="0" xfId="0" applyFont="1" applyBorder="1" applyAlignment="1">
      <alignment horizontal="center"/>
    </xf>
    <xf numFmtId="0" fontId="49" fillId="27" borderId="12" xfId="0" applyFont="1" applyFill="1" applyBorder="1" applyAlignment="1">
      <alignment horizontal="center"/>
    </xf>
    <xf numFmtId="0" fontId="49" fillId="27" borderId="2" xfId="0" applyFont="1" applyFill="1" applyBorder="1" applyAlignment="1">
      <alignment horizontal="center"/>
    </xf>
    <xf numFmtId="0" fontId="50" fillId="26" borderId="12" xfId="0" applyFont="1" applyFill="1" applyBorder="1" applyAlignment="1">
      <alignment horizontal="center"/>
    </xf>
    <xf numFmtId="0" fontId="50" fillId="26" borderId="2" xfId="0" applyFont="1" applyFill="1" applyBorder="1" applyAlignment="1">
      <alignment horizontal="center"/>
    </xf>
    <xf numFmtId="0" fontId="41" fillId="0" borderId="16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8" fillId="26" borderId="12" xfId="0" applyFont="1" applyFill="1" applyBorder="1" applyAlignment="1">
      <alignment horizontal="left"/>
    </xf>
    <xf numFmtId="0" fontId="38" fillId="26" borderId="2" xfId="0" applyFont="1" applyFill="1" applyBorder="1" applyAlignment="1">
      <alignment horizontal="left"/>
    </xf>
    <xf numFmtId="0" fontId="37" fillId="26" borderId="14" xfId="0" applyFont="1" applyFill="1" applyBorder="1" applyAlignment="1">
      <alignment horizontal="center"/>
    </xf>
    <xf numFmtId="0" fontId="37" fillId="26" borderId="15" xfId="0" applyFont="1" applyFill="1" applyBorder="1" applyAlignment="1">
      <alignment horizontal="center"/>
    </xf>
    <xf numFmtId="0" fontId="45" fillId="22" borderId="12" xfId="0" applyFont="1" applyFill="1" applyBorder="1" applyAlignment="1">
      <alignment horizontal="center" wrapText="1"/>
    </xf>
    <xf numFmtId="0" fontId="45" fillId="22" borderId="2" xfId="0" applyFont="1" applyFill="1" applyBorder="1" applyAlignment="1">
      <alignment horizontal="center" wrapText="1"/>
    </xf>
    <xf numFmtId="0" fontId="45" fillId="16" borderId="12" xfId="0" applyFont="1" applyFill="1" applyBorder="1" applyAlignment="1">
      <alignment horizontal="center" wrapText="1"/>
    </xf>
    <xf numFmtId="0" fontId="45" fillId="16" borderId="2" xfId="0" applyFont="1" applyFill="1" applyBorder="1" applyAlignment="1">
      <alignment horizontal="center" wrapText="1"/>
    </xf>
    <xf numFmtId="0" fontId="49" fillId="27" borderId="12" xfId="0" applyFont="1" applyFill="1" applyBorder="1" applyAlignment="1">
      <alignment horizontal="center" wrapText="1"/>
    </xf>
    <xf numFmtId="0" fontId="49" fillId="27" borderId="2" xfId="0" applyFont="1" applyFill="1" applyBorder="1" applyAlignment="1">
      <alignment horizontal="center" wrapText="1"/>
    </xf>
    <xf numFmtId="169" fontId="47" fillId="25" borderId="2" xfId="2" applyNumberFormat="1" applyFont="1" applyFill="1" applyBorder="1" applyAlignment="1">
      <alignment horizontal="center" vertical="center"/>
    </xf>
    <xf numFmtId="0" fontId="45" fillId="22" borderId="23" xfId="0" applyFont="1" applyFill="1" applyBorder="1" applyAlignment="1">
      <alignment horizontal="center" wrapText="1"/>
    </xf>
    <xf numFmtId="0" fontId="45" fillId="22" borderId="6" xfId="0" applyFont="1" applyFill="1" applyBorder="1" applyAlignment="1">
      <alignment horizontal="center" wrapText="1"/>
    </xf>
    <xf numFmtId="0" fontId="45" fillId="16" borderId="14" xfId="0" applyFont="1" applyFill="1" applyBorder="1" applyAlignment="1">
      <alignment horizontal="center" wrapText="1"/>
    </xf>
    <xf numFmtId="0" fontId="45" fillId="16" borderId="15" xfId="0" applyFont="1" applyFill="1" applyBorder="1" applyAlignment="1">
      <alignment horizontal="center" wrapText="1"/>
    </xf>
    <xf numFmtId="0" fontId="49" fillId="27" borderId="16" xfId="0" applyFont="1" applyFill="1" applyBorder="1" applyAlignment="1">
      <alignment horizontal="center" wrapText="1"/>
    </xf>
    <xf numFmtId="0" fontId="49" fillId="27" borderId="17" xfId="0" applyFont="1" applyFill="1" applyBorder="1" applyAlignment="1">
      <alignment horizontal="center" wrapText="1"/>
    </xf>
    <xf numFmtId="0" fontId="49" fillId="27" borderId="14" xfId="0" applyFont="1" applyFill="1" applyBorder="1" applyAlignment="1">
      <alignment horizontal="center"/>
    </xf>
    <xf numFmtId="0" fontId="49" fillId="27" borderId="15" xfId="0" applyFont="1" applyFill="1" applyBorder="1" applyAlignment="1">
      <alignment horizontal="center"/>
    </xf>
    <xf numFmtId="0" fontId="45" fillId="26" borderId="54" xfId="0" applyFont="1" applyFill="1" applyBorder="1" applyAlignment="1">
      <alignment horizontal="center"/>
    </xf>
    <xf numFmtId="0" fontId="45" fillId="26" borderId="28" xfId="0" applyFont="1" applyFill="1" applyBorder="1" applyAlignment="1">
      <alignment horizontal="center"/>
    </xf>
    <xf numFmtId="0" fontId="95" fillId="26" borderId="52" xfId="0" applyFont="1" applyFill="1" applyBorder="1" applyAlignment="1">
      <alignment horizontal="center"/>
    </xf>
    <xf numFmtId="0" fontId="95" fillId="26" borderId="43" xfId="0" applyFont="1" applyFill="1" applyBorder="1" applyAlignment="1">
      <alignment horizontal="center"/>
    </xf>
    <xf numFmtId="0" fontId="47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169" fontId="41" fillId="26" borderId="2" xfId="2" applyNumberFormat="1" applyFont="1" applyFill="1" applyBorder="1" applyAlignment="1">
      <alignment horizontal="center" vertical="center"/>
    </xf>
    <xf numFmtId="169" fontId="41" fillId="26" borderId="17" xfId="2" applyNumberFormat="1" applyFont="1" applyFill="1" applyBorder="1" applyAlignment="1">
      <alignment horizontal="center" vertical="center" wrapText="1"/>
    </xf>
    <xf numFmtId="0" fontId="38" fillId="26" borderId="16" xfId="0" applyFont="1" applyFill="1" applyBorder="1" applyAlignment="1">
      <alignment horizontal="left"/>
    </xf>
    <xf numFmtId="0" fontId="38" fillId="26" borderId="17" xfId="0" applyFont="1" applyFill="1" applyBorder="1" applyAlignment="1">
      <alignment horizontal="left"/>
    </xf>
    <xf numFmtId="169" fontId="41" fillId="26" borderId="18" xfId="2" applyNumberFormat="1" applyFont="1" applyFill="1" applyBorder="1" applyAlignment="1">
      <alignment horizontal="center" vertical="center" wrapText="1"/>
    </xf>
    <xf numFmtId="169" fontId="41" fillId="26" borderId="19" xfId="2" applyNumberFormat="1" applyFont="1" applyFill="1" applyBorder="1" applyAlignment="1">
      <alignment horizontal="center" vertical="center" wrapText="1"/>
    </xf>
    <xf numFmtId="169" fontId="41" fillId="26" borderId="69" xfId="2" applyNumberFormat="1" applyFont="1" applyFill="1" applyBorder="1" applyAlignment="1">
      <alignment horizontal="center" vertical="center" wrapText="1"/>
    </xf>
    <xf numFmtId="169" fontId="41" fillId="26" borderId="6" xfId="2" applyNumberFormat="1" applyFont="1" applyFill="1" applyBorder="1" applyAlignment="1">
      <alignment horizontal="center" vertical="center"/>
    </xf>
    <xf numFmtId="169" fontId="41" fillId="26" borderId="3" xfId="2" applyNumberFormat="1" applyFont="1" applyFill="1" applyBorder="1" applyAlignment="1">
      <alignment horizontal="center" vertical="center"/>
    </xf>
    <xf numFmtId="169" fontId="41" fillId="26" borderId="13" xfId="2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169" fontId="34" fillId="20" borderId="2" xfId="2" applyNumberFormat="1" applyFont="1" applyFill="1" applyBorder="1" applyAlignment="1">
      <alignment horizontal="center" vertical="center"/>
    </xf>
    <xf numFmtId="169" fontId="34" fillId="30" borderId="2" xfId="2" applyNumberFormat="1" applyFont="1" applyFill="1" applyBorder="1" applyAlignment="1">
      <alignment horizontal="center" vertical="center"/>
    </xf>
    <xf numFmtId="0" fontId="35" fillId="20" borderId="12" xfId="0" applyFont="1" applyFill="1" applyBorder="1" applyAlignment="1">
      <alignment horizontal="center" wrapText="1"/>
    </xf>
    <xf numFmtId="0" fontId="35" fillId="20" borderId="2" xfId="0" applyFont="1" applyFill="1" applyBorder="1" applyAlignment="1">
      <alignment horizontal="center" wrapText="1"/>
    </xf>
    <xf numFmtId="0" fontId="35" fillId="16" borderId="12" xfId="0" applyFont="1" applyFill="1" applyBorder="1" applyAlignment="1">
      <alignment horizontal="center" wrapText="1"/>
    </xf>
    <xf numFmtId="0" fontId="35" fillId="16" borderId="2" xfId="0" applyFont="1" applyFill="1" applyBorder="1" applyAlignment="1">
      <alignment horizontal="center" wrapText="1"/>
    </xf>
    <xf numFmtId="0" fontId="34" fillId="20" borderId="17" xfId="0" applyFont="1" applyFill="1" applyBorder="1" applyAlignment="1">
      <alignment horizontal="center" vertical="center"/>
    </xf>
    <xf numFmtId="169" fontId="34" fillId="30" borderId="17" xfId="2" applyNumberFormat="1" applyFont="1" applyFill="1" applyBorder="1" applyAlignment="1">
      <alignment horizontal="center" vertical="center" wrapText="1"/>
    </xf>
    <xf numFmtId="169" fontId="34" fillId="30" borderId="18" xfId="2" applyNumberFormat="1" applyFont="1" applyFill="1" applyBorder="1" applyAlignment="1">
      <alignment horizontal="center" vertical="center" wrapText="1"/>
    </xf>
    <xf numFmtId="0" fontId="0" fillId="30" borderId="37" xfId="0" applyFill="1" applyBorder="1" applyAlignment="1">
      <alignment horizontal="center" vertical="center"/>
    </xf>
    <xf numFmtId="0" fontId="0" fillId="30" borderId="63" xfId="0" applyFill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72" fillId="14" borderId="20" xfId="0" applyFont="1" applyFill="1" applyBorder="1" applyAlignment="1">
      <alignment horizontal="center" vertical="center"/>
    </xf>
    <xf numFmtId="0" fontId="72" fillId="14" borderId="8" xfId="0" applyFont="1" applyFill="1" applyBorder="1" applyAlignment="1">
      <alignment horizontal="center" vertical="center"/>
    </xf>
    <xf numFmtId="0" fontId="72" fillId="14" borderId="29" xfId="0" applyFont="1" applyFill="1" applyBorder="1" applyAlignment="1">
      <alignment horizontal="center" vertical="center"/>
    </xf>
    <xf numFmtId="0" fontId="72" fillId="0" borderId="20" xfId="0" applyFont="1" applyBorder="1" applyAlignment="1">
      <alignment horizontal="center" vertical="center"/>
    </xf>
    <xf numFmtId="0" fontId="72" fillId="0" borderId="8" xfId="0" applyFont="1" applyBorder="1" applyAlignment="1">
      <alignment horizontal="center" vertical="center"/>
    </xf>
    <xf numFmtId="0" fontId="72" fillId="0" borderId="29" xfId="0" applyFont="1" applyBorder="1" applyAlignment="1">
      <alignment horizontal="center" vertical="center"/>
    </xf>
    <xf numFmtId="0" fontId="59" fillId="0" borderId="49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49" fontId="68" fillId="0" borderId="55" xfId="0" applyNumberFormat="1" applyFont="1" applyBorder="1" applyAlignment="1">
      <alignment horizontal="left" vertical="center" wrapText="1"/>
    </xf>
    <xf numFmtId="49" fontId="68" fillId="0" borderId="49" xfId="0" applyNumberFormat="1" applyFont="1" applyBorder="1" applyAlignment="1">
      <alignment horizontal="left" vertical="center" wrapText="1"/>
    </xf>
    <xf numFmtId="49" fontId="68" fillId="0" borderId="50" xfId="0" applyNumberFormat="1" applyFont="1" applyBorder="1" applyAlignment="1">
      <alignment horizontal="left" vertical="center" wrapText="1"/>
    </xf>
    <xf numFmtId="0" fontId="59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9" fillId="0" borderId="50" xfId="0" applyFont="1" applyBorder="1" applyAlignment="1">
      <alignment vertical="center" wrapText="1"/>
    </xf>
    <xf numFmtId="0" fontId="59" fillId="0" borderId="49" xfId="0" applyFont="1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0" fillId="0" borderId="73" xfId="0" applyBorder="1" applyAlignment="1">
      <alignment vertical="center" wrapText="1"/>
    </xf>
    <xf numFmtId="0" fontId="59" fillId="0" borderId="55" xfId="0" applyFont="1" applyBorder="1" applyAlignment="1">
      <alignment vertical="center" wrapText="1"/>
    </xf>
    <xf numFmtId="0" fontId="59" fillId="0" borderId="56" xfId="0" applyFont="1" applyBorder="1" applyAlignment="1">
      <alignment vertical="center" wrapText="1"/>
    </xf>
    <xf numFmtId="170" fontId="65" fillId="0" borderId="42" xfId="15" applyNumberFormat="1" applyFont="1" applyBorder="1" applyAlignment="1">
      <alignment horizontal="center" vertical="center" wrapText="1"/>
    </xf>
    <xf numFmtId="170" fontId="65" fillId="0" borderId="75" xfId="15" applyNumberFormat="1" applyFont="1" applyBorder="1" applyAlignment="1">
      <alignment horizontal="center" vertical="center" wrapText="1"/>
    </xf>
    <xf numFmtId="43" fontId="65" fillId="0" borderId="2" xfId="15" applyFont="1" applyBorder="1" applyAlignment="1">
      <alignment vertical="center" wrapText="1"/>
    </xf>
    <xf numFmtId="43" fontId="65" fillId="0" borderId="15" xfId="15" applyFont="1" applyBorder="1" applyAlignment="1">
      <alignment vertical="center" wrapText="1"/>
    </xf>
    <xf numFmtId="43" fontId="65" fillId="0" borderId="2" xfId="15" applyNumberFormat="1" applyFont="1" applyBorder="1" applyAlignment="1">
      <alignment vertical="center" wrapText="1"/>
    </xf>
    <xf numFmtId="43" fontId="65" fillId="0" borderId="15" xfId="15" applyNumberFormat="1" applyFont="1" applyBorder="1" applyAlignment="1">
      <alignment vertical="center" wrapText="1"/>
    </xf>
    <xf numFmtId="0" fontId="65" fillId="0" borderId="2" xfId="9" applyFont="1" applyBorder="1" applyAlignment="1">
      <alignment vertical="center" wrapText="1"/>
    </xf>
    <xf numFmtId="0" fontId="65" fillId="0" borderId="15" xfId="9" applyFont="1" applyBorder="1" applyAlignment="1">
      <alignment vertical="center" wrapText="1"/>
    </xf>
    <xf numFmtId="0" fontId="65" fillId="0" borderId="6" xfId="9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68" fillId="0" borderId="57" xfId="0" applyFont="1" applyBorder="1" applyAlignment="1">
      <alignment vertical="center" wrapText="1"/>
    </xf>
    <xf numFmtId="0" fontId="68" fillId="0" borderId="49" xfId="0" applyFont="1" applyBorder="1" applyAlignment="1">
      <alignment vertical="center" wrapText="1"/>
    </xf>
    <xf numFmtId="0" fontId="68" fillId="0" borderId="50" xfId="0" applyFont="1" applyBorder="1" applyAlignment="1">
      <alignment vertical="center" wrapText="1"/>
    </xf>
    <xf numFmtId="0" fontId="24" fillId="0" borderId="44" xfId="9" applyFont="1" applyBorder="1" applyAlignment="1">
      <alignment vertical="center" wrapText="1"/>
    </xf>
    <xf numFmtId="0" fontId="24" fillId="0" borderId="2" xfId="9" applyFont="1" applyBorder="1" applyAlignment="1">
      <alignment vertical="center" wrapText="1"/>
    </xf>
    <xf numFmtId="0" fontId="24" fillId="0" borderId="15" xfId="9" applyFont="1" applyBorder="1" applyAlignment="1">
      <alignment vertical="center" wrapText="1"/>
    </xf>
    <xf numFmtId="0" fontId="24" fillId="0" borderId="44" xfId="9" applyFont="1" applyBorder="1" applyAlignment="1">
      <alignment horizontal="center"/>
    </xf>
    <xf numFmtId="0" fontId="24" fillId="0" borderId="2" xfId="9" applyFont="1" applyBorder="1" applyAlignment="1">
      <alignment horizontal="center"/>
    </xf>
    <xf numFmtId="170" fontId="24" fillId="0" borderId="2" xfId="15" applyNumberFormat="1" applyFont="1" applyBorder="1" applyAlignment="1">
      <alignment horizontal="center"/>
    </xf>
    <xf numFmtId="0" fontId="71" fillId="0" borderId="24" xfId="0" applyFont="1" applyBorder="1" applyAlignment="1">
      <alignment horizontal="center"/>
    </xf>
    <xf numFmtId="0" fontId="68" fillId="0" borderId="30" xfId="0" applyFont="1" applyBorder="1" applyAlignment="1">
      <alignment horizontal="center"/>
    </xf>
    <xf numFmtId="0" fontId="68" fillId="0" borderId="66" xfId="0" applyFont="1" applyBorder="1" applyAlignment="1">
      <alignment horizontal="center"/>
    </xf>
    <xf numFmtId="0" fontId="71" fillId="0" borderId="4" xfId="0" applyFont="1" applyBorder="1" applyAlignment="1">
      <alignment horizontal="center" vertical="center" wrapText="1"/>
    </xf>
    <xf numFmtId="0" fontId="68" fillId="0" borderId="0" xfId="0" applyFont="1" applyBorder="1" applyAlignment="1">
      <alignment horizontal="center" vertical="center" wrapText="1"/>
    </xf>
    <xf numFmtId="0" fontId="68" fillId="0" borderId="67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0" fillId="0" borderId="0" xfId="0" applyFont="1" applyAlignment="1">
      <alignment horizontal="left" wrapText="1"/>
    </xf>
    <xf numFmtId="0" fontId="66" fillId="0" borderId="0" xfId="0" applyFont="1" applyAlignment="1" applyProtection="1">
      <alignment horizontal="center" vertical="center" wrapText="1"/>
      <protection locked="0"/>
    </xf>
    <xf numFmtId="0" fontId="78" fillId="0" borderId="54" xfId="0" applyFont="1" applyBorder="1" applyAlignment="1">
      <alignment horizontal="center" vertical="center" wrapText="1"/>
    </xf>
    <xf numFmtId="0" fontId="78" fillId="0" borderId="53" xfId="0" applyFont="1" applyBorder="1" applyAlignment="1">
      <alignment horizontal="center" vertical="center" wrapText="1"/>
    </xf>
    <xf numFmtId="0" fontId="78" fillId="0" borderId="47" xfId="0" applyFont="1" applyBorder="1" applyAlignment="1">
      <alignment horizontal="center" vertical="center" wrapText="1"/>
    </xf>
    <xf numFmtId="0" fontId="78" fillId="0" borderId="28" xfId="0" applyFont="1" applyBorder="1" applyAlignment="1">
      <alignment horizontal="center" vertical="center" wrapText="1"/>
    </xf>
    <xf numFmtId="0" fontId="78" fillId="0" borderId="27" xfId="0" applyFont="1" applyBorder="1" applyAlignment="1">
      <alignment horizontal="center" vertical="center" wrapText="1"/>
    </xf>
    <xf numFmtId="0" fontId="78" fillId="0" borderId="46" xfId="0" applyFont="1" applyBorder="1" applyAlignment="1">
      <alignment horizontal="center" vertical="center" wrapText="1"/>
    </xf>
    <xf numFmtId="0" fontId="78" fillId="0" borderId="34" xfId="0" applyFont="1" applyBorder="1" applyAlignment="1">
      <alignment horizontal="center" vertical="center" wrapText="1"/>
    </xf>
    <xf numFmtId="0" fontId="78" fillId="0" borderId="35" xfId="0" applyFont="1" applyBorder="1" applyAlignment="1">
      <alignment horizontal="center" vertical="center" wrapText="1"/>
    </xf>
    <xf numFmtId="0" fontId="78" fillId="0" borderId="58" xfId="0" applyFont="1" applyBorder="1" applyAlignment="1">
      <alignment horizontal="center" vertical="center" wrapText="1"/>
    </xf>
    <xf numFmtId="0" fontId="78" fillId="0" borderId="11" xfId="0" applyFont="1" applyBorder="1" applyAlignment="1">
      <alignment horizontal="center" vertical="center" wrapText="1"/>
    </xf>
    <xf numFmtId="0" fontId="78" fillId="0" borderId="33" xfId="0" applyFont="1" applyBorder="1" applyAlignment="1">
      <alignment horizontal="center" vertical="center" wrapText="1"/>
    </xf>
    <xf numFmtId="0" fontId="78" fillId="0" borderId="10" xfId="0" applyFont="1" applyBorder="1" applyAlignment="1">
      <alignment horizontal="center" vertical="center" wrapText="1"/>
    </xf>
    <xf numFmtId="0" fontId="78" fillId="0" borderId="70" xfId="0" applyFont="1" applyBorder="1" applyAlignment="1">
      <alignment horizontal="center" vertical="center" wrapText="1"/>
    </xf>
    <xf numFmtId="0" fontId="82" fillId="0" borderId="2" xfId="10" applyFont="1" applyBorder="1" applyAlignment="1">
      <alignment horizontal="center" textRotation="90"/>
    </xf>
    <xf numFmtId="0" fontId="82" fillId="0" borderId="6" xfId="10" applyFont="1" applyBorder="1" applyAlignment="1">
      <alignment horizontal="center"/>
    </xf>
    <xf numFmtId="0" fontId="82" fillId="0" borderId="3" xfId="10" applyFont="1" applyBorder="1" applyAlignment="1">
      <alignment horizontal="center"/>
    </xf>
    <xf numFmtId="0" fontId="82" fillId="0" borderId="6" xfId="10" applyFont="1" applyBorder="1" applyAlignment="1">
      <alignment horizontal="center" wrapText="1"/>
    </xf>
    <xf numFmtId="0" fontId="82" fillId="0" borderId="3" xfId="10" applyFont="1" applyBorder="1" applyAlignment="1">
      <alignment horizontal="center" wrapText="1"/>
    </xf>
    <xf numFmtId="0" fontId="0" fillId="0" borderId="8" xfId="0" applyBorder="1"/>
    <xf numFmtId="0" fontId="0" fillId="0" borderId="9" xfId="0" applyBorder="1"/>
    <xf numFmtId="0" fontId="82" fillId="0" borderId="2" xfId="10" applyFont="1" applyBorder="1" applyAlignment="1">
      <alignment horizontal="center"/>
    </xf>
  </cellXfs>
  <cellStyles count="16">
    <cellStyle name="Ezres" xfId="1" builtinId="3"/>
    <cellStyle name="Ezres 2" xfId="4"/>
    <cellStyle name="Ezres 2 2" xfId="11"/>
    <cellStyle name="Ezres 3" xfId="6"/>
    <cellStyle name="Ezres 3 2" xfId="13"/>
    <cellStyle name="Ezres 4" xfId="8"/>
    <cellStyle name="Ezres 4 2" xfId="15"/>
    <cellStyle name="Normál" xfId="0" builtinId="0"/>
    <cellStyle name="Normál_2012létszám tábla" xfId="9"/>
    <cellStyle name="Normál_3.eredeti  2009. évi költségvetés 2-13 mell." xfId="10"/>
    <cellStyle name="Pénznem" xfId="2" builtinId="4"/>
    <cellStyle name="Pénznem 2" xfId="5"/>
    <cellStyle name="Pénznem 2 2" xfId="12"/>
    <cellStyle name="Pénznem 3" xfId="7"/>
    <cellStyle name="Pénznem 3 2" xfId="14"/>
    <cellStyle name="TableStyleLight1" xfId="3"/>
  </cellStyles>
  <dxfs count="0"/>
  <tableStyles count="0" defaultTableStyle="TableStyleMedium2" defaultPivotStyle="PivotStyleLight16"/>
  <colors>
    <mruColors>
      <color rgb="FFBBDBA5"/>
      <color rgb="FFFFCCFF"/>
      <color rgb="FFFFCCCC"/>
      <color rgb="FFCCCCFF"/>
      <color rgb="FFECB2D9"/>
      <color rgb="FFBED195"/>
      <color rgb="FFF58D71"/>
      <color rgb="FF8BDBC0"/>
      <color rgb="FF827AEC"/>
      <color rgb="FF76E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iz\Desktop\2019\Kecsk&#233;d\2019%20&#233;vi%20k&#246;lts&#233;gvet&#233;shez%20tervez&#233;si%20t&#225;bla\2019%20&#233;vi%20k&#246;lts&#233;gvet&#233;si%20t&#225;bl&#225;zat_2019_02_08_V&#201;GLEGES_TEST&#220;LETI%20ANY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rleg szintű össz"/>
      <sheetName val="Mérleg szintű ÖK"/>
      <sheetName val="Normatíva elszámolás levezetése"/>
      <sheetName val="Normatíva 2018"/>
      <sheetName val="Közhatalmi bevétel"/>
      <sheetName val="Saját bevételek"/>
      <sheetName val="Záró pénzkészlet"/>
      <sheetName val="Kiadások összesen"/>
      <sheetName val="Általános kiadások"/>
      <sheetName val="Település üzemeltetés"/>
      <sheetName val="Étkeztetési feladatok"/>
      <sheetName val="Egészségügyi feladatok"/>
      <sheetName val="Kulturális szolgáltatás"/>
      <sheetName val="Közfoglalkoztatás"/>
      <sheetName val="Önkormányzat személyi"/>
      <sheetName val="Önkormányzat DOLOGI"/>
      <sheetName val="Önkormányzat Települési támogat"/>
      <sheetName val="Önkormányzat Átadott pénzeszköz"/>
      <sheetName val="Önkormányzat Beruházás"/>
      <sheetName val="Tartalék"/>
      <sheetName val="Intézményi összesen"/>
      <sheetName val="Hivatal 2018 évi elemi költésgv"/>
      <sheetName val="Óvoda"/>
      <sheetName val="Likviditás"/>
      <sheetName val="Létszám"/>
      <sheetName val="Közvetett támogatás"/>
      <sheetName val="Adósságot keletkeztető ügyletek"/>
      <sheetName val="Áthúzódó kötváll"/>
    </sheetNames>
    <sheetDataSet>
      <sheetData sheetId="0" refreshError="1"/>
      <sheetData sheetId="1" refreshError="1"/>
      <sheetData sheetId="2" refreshError="1"/>
      <sheetData sheetId="3">
        <row r="66">
          <cell r="G66">
            <v>0</v>
          </cell>
        </row>
      </sheetData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>
        <row r="26">
          <cell r="E26">
            <v>67181</v>
          </cell>
        </row>
      </sheetData>
      <sheetData sheetId="19">
        <row r="16">
          <cell r="C16">
            <v>385300546</v>
          </cell>
        </row>
      </sheetData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topLeftCell="C1" zoomScale="60" zoomScaleNormal="60" workbookViewId="0">
      <selection activeCell="G30" sqref="G30"/>
    </sheetView>
  </sheetViews>
  <sheetFormatPr defaultRowHeight="15" x14ac:dyDescent="0.25"/>
  <cols>
    <col min="1" max="1" width="29.7109375" customWidth="1"/>
    <col min="3" max="3" width="21.140625" customWidth="1"/>
    <col min="4" max="4" width="21.140625" style="259" customWidth="1"/>
    <col min="5" max="5" width="21.140625" style="149" customWidth="1"/>
    <col min="6" max="6" width="21.140625" style="259" customWidth="1"/>
    <col min="7" max="7" width="21.140625" style="149" customWidth="1"/>
    <col min="8" max="8" width="21.140625" style="259" customWidth="1"/>
    <col min="9" max="9" width="24.85546875" customWidth="1"/>
    <col min="11" max="11" width="21.5703125" customWidth="1"/>
    <col min="12" max="12" width="21.5703125" style="259" customWidth="1"/>
    <col min="13" max="13" width="21.5703125" style="149" customWidth="1"/>
    <col min="14" max="14" width="21.5703125" style="259" customWidth="1"/>
    <col min="15" max="15" width="26.28515625" customWidth="1"/>
    <col min="16" max="16" width="25.28515625" customWidth="1"/>
    <col min="17" max="17" width="7.42578125" customWidth="1"/>
  </cols>
  <sheetData>
    <row r="1" spans="1:16" ht="15.75" x14ac:dyDescent="0.25">
      <c r="A1" s="895" t="s">
        <v>744</v>
      </c>
      <c r="B1" s="895"/>
      <c r="C1" s="895"/>
      <c r="D1" s="895"/>
      <c r="E1" s="895"/>
      <c r="F1" s="895"/>
      <c r="G1" s="895"/>
      <c r="H1" s="270"/>
      <c r="M1" s="894"/>
      <c r="N1" s="894"/>
      <c r="O1" s="894"/>
    </row>
    <row r="2" spans="1:16" s="149" customFormat="1" ht="15.75" x14ac:dyDescent="0.25">
      <c r="A2" s="154"/>
      <c r="B2" s="154"/>
      <c r="C2" s="154"/>
      <c r="D2" s="270"/>
      <c r="E2" s="154"/>
      <c r="F2" s="270"/>
      <c r="G2" s="154"/>
      <c r="H2" s="270"/>
      <c r="L2" s="259"/>
      <c r="M2" s="152"/>
      <c r="N2" s="271"/>
      <c r="O2" s="152"/>
    </row>
    <row r="3" spans="1:16" s="149" customFormat="1" x14ac:dyDescent="0.25">
      <c r="A3" s="893" t="s">
        <v>726</v>
      </c>
      <c r="B3" s="893"/>
      <c r="C3" s="893"/>
      <c r="D3" s="893"/>
      <c r="E3" s="893"/>
      <c r="F3" s="893"/>
      <c r="G3" s="893"/>
      <c r="H3" s="893"/>
      <c r="I3" s="893"/>
      <c r="J3" s="893"/>
      <c r="K3" s="893"/>
      <c r="L3" s="893"/>
      <c r="M3" s="893"/>
      <c r="N3" s="893"/>
      <c r="O3" s="893"/>
    </row>
    <row r="4" spans="1:16" s="149" customFormat="1" x14ac:dyDescent="0.25">
      <c r="A4" s="893"/>
      <c r="B4" s="893"/>
      <c r="C4" s="893"/>
      <c r="D4" s="893"/>
      <c r="E4" s="893"/>
      <c r="F4" s="893"/>
      <c r="G4" s="893"/>
      <c r="H4" s="893"/>
      <c r="I4" s="893"/>
      <c r="J4" s="893"/>
      <c r="K4" s="893"/>
      <c r="L4" s="893"/>
      <c r="M4" s="893"/>
      <c r="N4" s="893"/>
      <c r="O4" s="893"/>
    </row>
    <row r="5" spans="1:16" x14ac:dyDescent="0.25">
      <c r="O5" s="100" t="s">
        <v>388</v>
      </c>
    </row>
    <row r="6" spans="1:16" ht="18" x14ac:dyDescent="0.25">
      <c r="A6" s="902" t="s">
        <v>398</v>
      </c>
      <c r="B6" s="903"/>
      <c r="C6" s="903"/>
      <c r="D6" s="903"/>
      <c r="E6" s="903"/>
      <c r="F6" s="903"/>
      <c r="G6" s="903"/>
      <c r="H6" s="904"/>
      <c r="I6" s="905" t="s">
        <v>399</v>
      </c>
      <c r="J6" s="906"/>
      <c r="K6" s="906"/>
      <c r="L6" s="906"/>
      <c r="M6" s="906"/>
      <c r="N6" s="906"/>
      <c r="O6" s="906"/>
      <c r="P6" s="906"/>
    </row>
    <row r="7" spans="1:16" ht="25.5" customHeight="1" x14ac:dyDescent="0.25">
      <c r="A7" s="896" t="s">
        <v>66</v>
      </c>
      <c r="B7" s="898" t="s">
        <v>67</v>
      </c>
      <c r="C7" s="900" t="s">
        <v>407</v>
      </c>
      <c r="D7" s="901"/>
      <c r="E7" s="900" t="s">
        <v>519</v>
      </c>
      <c r="F7" s="901"/>
      <c r="G7" s="900" t="s">
        <v>230</v>
      </c>
      <c r="H7" s="901"/>
      <c r="I7" s="909" t="s">
        <v>68</v>
      </c>
      <c r="J7" s="909" t="s">
        <v>67</v>
      </c>
      <c r="K7" s="900" t="s">
        <v>407</v>
      </c>
      <c r="L7" s="901"/>
      <c r="M7" s="900" t="s">
        <v>519</v>
      </c>
      <c r="N7" s="901"/>
      <c r="O7" s="907" t="s">
        <v>230</v>
      </c>
      <c r="P7" s="908"/>
    </row>
    <row r="8" spans="1:16" s="259" customFormat="1" ht="51.75" customHeight="1" x14ac:dyDescent="0.25">
      <c r="A8" s="897"/>
      <c r="B8" s="899"/>
      <c r="C8" s="153" t="s">
        <v>668</v>
      </c>
      <c r="D8" s="153" t="s">
        <v>727</v>
      </c>
      <c r="E8" s="153" t="s">
        <v>668</v>
      </c>
      <c r="F8" s="153" t="s">
        <v>727</v>
      </c>
      <c r="G8" s="153" t="s">
        <v>668</v>
      </c>
      <c r="H8" s="153" t="s">
        <v>727</v>
      </c>
      <c r="I8" s="910"/>
      <c r="J8" s="910"/>
      <c r="K8" s="153" t="s">
        <v>668</v>
      </c>
      <c r="L8" s="153" t="s">
        <v>727</v>
      </c>
      <c r="M8" s="153" t="s">
        <v>668</v>
      </c>
      <c r="N8" s="153" t="s">
        <v>727</v>
      </c>
      <c r="O8" s="153" t="s">
        <v>668</v>
      </c>
      <c r="P8" s="153" t="s">
        <v>727</v>
      </c>
    </row>
    <row r="9" spans="1:16" ht="39.75" customHeight="1" x14ac:dyDescent="0.25">
      <c r="A9" s="23" t="s">
        <v>69</v>
      </c>
      <c r="B9" s="127" t="s">
        <v>70</v>
      </c>
      <c r="C9" s="128">
        <f>'2.melléklet Önkormányzat mérleg'!C8</f>
        <v>196840488</v>
      </c>
      <c r="D9" s="128">
        <f>'2.melléklet Önkormányzat mérleg'!D8</f>
        <v>207024334</v>
      </c>
      <c r="E9" s="128">
        <v>0</v>
      </c>
      <c r="F9" s="151"/>
      <c r="G9" s="151">
        <f>SUM(C9,E9)</f>
        <v>196840488</v>
      </c>
      <c r="H9" s="151">
        <f>SUM(D9,F9)</f>
        <v>207024334</v>
      </c>
      <c r="I9" s="755" t="s">
        <v>400</v>
      </c>
      <c r="J9" s="129" t="s">
        <v>99</v>
      </c>
      <c r="K9" s="130">
        <f>'2.melléklet Önkormányzat mérleg'!G8</f>
        <v>33083652</v>
      </c>
      <c r="L9" s="130">
        <f>'2.melléklet Önkormányzat mérleg'!H8</f>
        <v>35628952</v>
      </c>
      <c r="M9" s="130">
        <v>106826895</v>
      </c>
      <c r="N9" s="130">
        <f>'16mellIntézményi összesített'!J8</f>
        <v>114111672</v>
      </c>
      <c r="O9" s="28">
        <f>SUM(K9,M9)</f>
        <v>139910547</v>
      </c>
      <c r="P9" s="28">
        <f>SUM(L9,N9)</f>
        <v>149740624</v>
      </c>
    </row>
    <row r="10" spans="1:16" ht="34.5" customHeight="1" x14ac:dyDescent="0.25">
      <c r="A10" s="23" t="s">
        <v>84</v>
      </c>
      <c r="B10" s="127" t="s">
        <v>85</v>
      </c>
      <c r="C10" s="128">
        <f>'2.melléklet Önkormányzat mérleg'!C9</f>
        <v>10766200</v>
      </c>
      <c r="D10" s="128">
        <f>'2.melléklet Önkormányzat mérleg'!D9</f>
        <v>11317200</v>
      </c>
      <c r="E10" s="128">
        <v>0</v>
      </c>
      <c r="F10" s="151"/>
      <c r="G10" s="151">
        <f t="shared" ref="G10:H21" si="0">SUM(C10,E10)</f>
        <v>10766200</v>
      </c>
      <c r="H10" s="151">
        <f t="shared" si="0"/>
        <v>11317200</v>
      </c>
      <c r="I10" s="755" t="s">
        <v>659</v>
      </c>
      <c r="J10" s="131" t="s">
        <v>101</v>
      </c>
      <c r="K10" s="130">
        <f>'2.melléklet Önkormányzat mérleg'!G9</f>
        <v>5789639</v>
      </c>
      <c r="L10" s="130">
        <f>'2.melléklet Önkormányzat mérleg'!H9</f>
        <v>5456110</v>
      </c>
      <c r="M10" s="130">
        <v>18610707</v>
      </c>
      <c r="N10" s="130">
        <f>'16mellIntézményi összesített'!J9</f>
        <v>17355785.469999999</v>
      </c>
      <c r="O10" s="28">
        <f t="shared" ref="O10:O16" si="1">SUM(K10,M10)</f>
        <v>24400346</v>
      </c>
      <c r="P10" s="28">
        <f>SUM(L10,N10)</f>
        <v>22811895.469999999</v>
      </c>
    </row>
    <row r="11" spans="1:16" ht="43.5" customHeight="1" x14ac:dyDescent="0.25">
      <c r="A11" s="23" t="s">
        <v>94</v>
      </c>
      <c r="B11" s="127" t="s">
        <v>95</v>
      </c>
      <c r="C11" s="128">
        <f>'2.melléklet Önkormányzat mérleg'!C10</f>
        <v>207606688</v>
      </c>
      <c r="D11" s="128">
        <f>'2.melléklet Önkormányzat mérleg'!D10</f>
        <v>218341534</v>
      </c>
      <c r="E11" s="132">
        <f t="shared" ref="E11" si="2">SUM(E9:E10)</f>
        <v>0</v>
      </c>
      <c r="F11" s="276"/>
      <c r="G11" s="151">
        <f t="shared" si="0"/>
        <v>207606688</v>
      </c>
      <c r="H11" s="151">
        <f t="shared" si="0"/>
        <v>218341534</v>
      </c>
      <c r="I11" s="753" t="s">
        <v>402</v>
      </c>
      <c r="J11" s="129" t="s">
        <v>181</v>
      </c>
      <c r="K11" s="130">
        <f>'2.melléklet Önkormányzat mérleg'!G10</f>
        <v>45754611</v>
      </c>
      <c r="L11" s="130">
        <f>'2.melléklet Önkormányzat mérleg'!H10</f>
        <v>59742812.170000002</v>
      </c>
      <c r="M11" s="130">
        <v>25984069</v>
      </c>
      <c r="N11" s="130">
        <f>'16mellIntézményi összesített'!J10</f>
        <v>24379627</v>
      </c>
      <c r="O11" s="28">
        <f t="shared" si="1"/>
        <v>71738680</v>
      </c>
      <c r="P11" s="28">
        <f>SUM(L11,N11)</f>
        <v>84122439.170000002</v>
      </c>
    </row>
    <row r="12" spans="1:16" ht="29.25" customHeight="1" x14ac:dyDescent="0.25">
      <c r="A12" s="23" t="s">
        <v>102</v>
      </c>
      <c r="B12" s="127" t="s">
        <v>103</v>
      </c>
      <c r="C12" s="128">
        <f>'2.melléklet Önkormányzat mérleg'!C11</f>
        <v>0</v>
      </c>
      <c r="D12" s="128">
        <f>'2.melléklet Önkormányzat mérleg'!D11</f>
        <v>0</v>
      </c>
      <c r="E12" s="132">
        <v>0</v>
      </c>
      <c r="F12" s="276"/>
      <c r="G12" s="151">
        <f t="shared" si="0"/>
        <v>0</v>
      </c>
      <c r="H12" s="151">
        <f t="shared" si="0"/>
        <v>0</v>
      </c>
      <c r="I12" s="749" t="s">
        <v>660</v>
      </c>
      <c r="J12" s="127" t="s">
        <v>187</v>
      </c>
      <c r="K12" s="130">
        <f>'2.melléklet Önkormányzat mérleg'!G11</f>
        <v>9100000</v>
      </c>
      <c r="L12" s="130">
        <f>'2.melléklet Önkormányzat mérleg'!H11</f>
        <v>14900000</v>
      </c>
      <c r="M12" s="130">
        <v>0</v>
      </c>
      <c r="N12" s="130">
        <v>0</v>
      </c>
      <c r="O12" s="28">
        <f t="shared" si="1"/>
        <v>9100000</v>
      </c>
      <c r="P12" s="28">
        <f t="shared" ref="P12:P16" si="3">SUM(L12,N12)</f>
        <v>14900000</v>
      </c>
    </row>
    <row r="13" spans="1:16" ht="29.25" customHeight="1" x14ac:dyDescent="0.25">
      <c r="A13" s="23" t="s">
        <v>146</v>
      </c>
      <c r="B13" s="127" t="s">
        <v>147</v>
      </c>
      <c r="C13" s="128">
        <f>'2.melléklet Önkormányzat mérleg'!C12</f>
        <v>65000000</v>
      </c>
      <c r="D13" s="128">
        <f>'2.melléklet Önkormányzat mérleg'!D12</f>
        <v>40400000</v>
      </c>
      <c r="E13" s="132">
        <v>0</v>
      </c>
      <c r="F13" s="276"/>
      <c r="G13" s="151">
        <f t="shared" si="0"/>
        <v>65000000</v>
      </c>
      <c r="H13" s="151">
        <f t="shared" si="0"/>
        <v>40400000</v>
      </c>
      <c r="I13" s="749" t="s">
        <v>191</v>
      </c>
      <c r="J13" s="127" t="s">
        <v>192</v>
      </c>
      <c r="K13" s="130">
        <v>14497428</v>
      </c>
      <c r="L13" s="130">
        <f>'2.melléklet Önkormányzat mérleg'!H12+'2.melléklet Önkormányzat mérleg'!H13</f>
        <v>18883898</v>
      </c>
      <c r="M13" s="130">
        <v>0</v>
      </c>
      <c r="N13" s="130">
        <v>0</v>
      </c>
      <c r="O13" s="28">
        <f t="shared" si="1"/>
        <v>14497428</v>
      </c>
      <c r="P13" s="28">
        <f t="shared" si="3"/>
        <v>18883898</v>
      </c>
    </row>
    <row r="14" spans="1:16" ht="28.5" customHeight="1" x14ac:dyDescent="0.25">
      <c r="A14" s="23" t="s">
        <v>182</v>
      </c>
      <c r="B14" s="127" t="s">
        <v>183</v>
      </c>
      <c r="C14" s="128">
        <f>'2.melléklet Önkormányzat mérleg'!C13</f>
        <v>0</v>
      </c>
      <c r="D14" s="128">
        <f>'2.melléklet Önkormányzat mérleg'!D13</f>
        <v>0</v>
      </c>
      <c r="E14" s="128">
        <v>7300000</v>
      </c>
      <c r="F14" s="128">
        <f>'16mellIntézményi összesített'!J15</f>
        <v>7300000</v>
      </c>
      <c r="G14" s="151">
        <f t="shared" si="0"/>
        <v>7300000</v>
      </c>
      <c r="H14" s="151">
        <f t="shared" si="0"/>
        <v>7300000</v>
      </c>
      <c r="I14" s="749" t="s">
        <v>203</v>
      </c>
      <c r="J14" s="127" t="s">
        <v>204</v>
      </c>
      <c r="K14" s="130">
        <v>3641684</v>
      </c>
      <c r="L14" s="130">
        <f>'2.melléklet Önkormányzat mérleg'!H14</f>
        <v>92718232</v>
      </c>
      <c r="M14" s="130">
        <v>2071205</v>
      </c>
      <c r="N14" s="130">
        <f>'16mellIntézményi összesített'!J11</f>
        <v>3421870</v>
      </c>
      <c r="O14" s="28">
        <f t="shared" si="1"/>
        <v>5712889</v>
      </c>
      <c r="P14" s="28">
        <f t="shared" si="3"/>
        <v>96140102</v>
      </c>
    </row>
    <row r="15" spans="1:16" ht="30" customHeight="1" x14ac:dyDescent="0.25">
      <c r="A15" s="23" t="s">
        <v>184</v>
      </c>
      <c r="B15" s="127" t="s">
        <v>185</v>
      </c>
      <c r="C15" s="128">
        <f>'2.melléklet Önkormányzat mérleg'!C14</f>
        <v>12141250</v>
      </c>
      <c r="D15" s="128">
        <f>'2.melléklet Önkormányzat mérleg'!D14</f>
        <v>10671965</v>
      </c>
      <c r="E15" s="134">
        <f>'16mellIntézményi összesített'!I16</f>
        <v>0</v>
      </c>
      <c r="F15" s="277"/>
      <c r="G15" s="151">
        <f t="shared" si="0"/>
        <v>12141250</v>
      </c>
      <c r="H15" s="151">
        <f t="shared" si="0"/>
        <v>10671965</v>
      </c>
      <c r="I15" s="750" t="s">
        <v>209</v>
      </c>
      <c r="J15" s="135" t="s">
        <v>210</v>
      </c>
      <c r="K15" s="130">
        <f>'2.melléklet Önkormányzat mérleg'!G15</f>
        <v>21139150</v>
      </c>
      <c r="L15" s="130">
        <f>'2.melléklet Önkormányzat mérleg'!H15</f>
        <v>73000000</v>
      </c>
      <c r="M15" s="136">
        <v>0</v>
      </c>
      <c r="N15" s="136">
        <f>'16mellIntézményi összesített'!J12</f>
        <v>0</v>
      </c>
      <c r="O15" s="28">
        <f t="shared" si="1"/>
        <v>21139150</v>
      </c>
      <c r="P15" s="28">
        <f t="shared" si="3"/>
        <v>73000000</v>
      </c>
    </row>
    <row r="16" spans="1:16" ht="35.25" customHeight="1" x14ac:dyDescent="0.25">
      <c r="A16" s="23" t="s">
        <v>188</v>
      </c>
      <c r="B16" s="127" t="s">
        <v>189</v>
      </c>
      <c r="C16" s="128">
        <f>'2.melléklet Önkormányzat mérleg'!C16</f>
        <v>2000000</v>
      </c>
      <c r="D16" s="128">
        <f>'2.melléklet Önkormányzat mérleg'!D16</f>
        <v>0</v>
      </c>
      <c r="E16" s="134">
        <v>0</v>
      </c>
      <c r="F16" s="277"/>
      <c r="G16" s="151">
        <f t="shared" si="0"/>
        <v>2000000</v>
      </c>
      <c r="H16" s="151">
        <f t="shared" si="0"/>
        <v>0</v>
      </c>
      <c r="I16" s="321"/>
      <c r="J16" s="111"/>
      <c r="K16" s="32"/>
      <c r="L16" s="32"/>
      <c r="M16" s="32"/>
      <c r="N16" s="32"/>
      <c r="O16" s="28">
        <f t="shared" si="1"/>
        <v>0</v>
      </c>
      <c r="P16" s="28">
        <f t="shared" si="3"/>
        <v>0</v>
      </c>
    </row>
    <row r="17" spans="1:17" ht="24" customHeight="1" x14ac:dyDescent="0.25">
      <c r="A17" s="752" t="s">
        <v>64</v>
      </c>
      <c r="B17" s="137" t="s">
        <v>190</v>
      </c>
      <c r="C17" s="138">
        <f>SUM(C11:C16)</f>
        <v>286747938</v>
      </c>
      <c r="D17" s="138">
        <f>SUM(D11:D16)</f>
        <v>269413499</v>
      </c>
      <c r="E17" s="138">
        <f t="shared" ref="E17:H17" si="4">SUM(E11:E16)</f>
        <v>7300000</v>
      </c>
      <c r="F17" s="138">
        <f t="shared" si="4"/>
        <v>7300000</v>
      </c>
      <c r="G17" s="138">
        <f t="shared" si="4"/>
        <v>294047938</v>
      </c>
      <c r="H17" s="138">
        <f t="shared" si="4"/>
        <v>276713499</v>
      </c>
      <c r="I17" s="751" t="s">
        <v>65</v>
      </c>
      <c r="J17" s="139"/>
      <c r="K17" s="140">
        <f>SUM(K9:K15)</f>
        <v>133006164</v>
      </c>
      <c r="L17" s="140">
        <f>SUM(L9:L15)</f>
        <v>300330004.17000002</v>
      </c>
      <c r="M17" s="140">
        <f>SUM(M9:M15)</f>
        <v>153492876</v>
      </c>
      <c r="N17" s="140">
        <f>SUM(N9:N15)</f>
        <v>159268954.47</v>
      </c>
      <c r="O17" s="122">
        <f>M17+K17</f>
        <v>286499040</v>
      </c>
      <c r="P17" s="122">
        <f>N17+L17</f>
        <v>459598958.63999999</v>
      </c>
      <c r="Q17" s="858"/>
    </row>
    <row r="18" spans="1:17" ht="30.75" customHeight="1" x14ac:dyDescent="0.25">
      <c r="A18" s="23" t="s">
        <v>211</v>
      </c>
      <c r="B18" s="127" t="s">
        <v>212</v>
      </c>
      <c r="C18" s="418">
        <f>'2.melléklet Önkormányzat mérleg'!C18</f>
        <v>0</v>
      </c>
      <c r="D18" s="418">
        <f>'2.melléklet Önkormányzat mérleg'!D18</f>
        <v>186769314</v>
      </c>
      <c r="E18" s="134"/>
      <c r="F18" s="134"/>
      <c r="G18" s="151">
        <f t="shared" si="0"/>
        <v>0</v>
      </c>
      <c r="H18" s="151">
        <f t="shared" si="0"/>
        <v>186769314</v>
      </c>
      <c r="I18" s="321"/>
      <c r="J18" s="111"/>
      <c r="K18" s="111"/>
      <c r="L18" s="111"/>
      <c r="M18" s="111"/>
      <c r="N18" s="111"/>
      <c r="O18" s="28">
        <f t="shared" ref="O18:O21" si="5">SUM(K18,M18)</f>
        <v>0</v>
      </c>
      <c r="P18" s="28">
        <f t="shared" ref="P18:P21" si="6">SUM(L18,N18)</f>
        <v>0</v>
      </c>
    </row>
    <row r="19" spans="1:17" ht="39" customHeight="1" x14ac:dyDescent="0.25">
      <c r="A19" s="23" t="s">
        <v>215</v>
      </c>
      <c r="B19" s="127" t="s">
        <v>216</v>
      </c>
      <c r="C19" s="418">
        <f>'2.melléklet Önkormányzat mérleg'!C19</f>
        <v>0</v>
      </c>
      <c r="D19" s="418">
        <f>'2.melléklet Önkormányzat mérleg'!D19</f>
        <v>186769314</v>
      </c>
      <c r="E19" s="132">
        <f t="shared" ref="E19" si="7">SUM(E18)</f>
        <v>0</v>
      </c>
      <c r="F19" s="128">
        <f>'16mellIntézményi összesített'!J17</f>
        <v>4397120</v>
      </c>
      <c r="G19" s="151">
        <f t="shared" si="0"/>
        <v>0</v>
      </c>
      <c r="H19" s="151">
        <f t="shared" si="0"/>
        <v>191166434</v>
      </c>
      <c r="I19" s="510" t="s">
        <v>213</v>
      </c>
      <c r="J19" s="141" t="s">
        <v>214</v>
      </c>
      <c r="K19" s="142">
        <f>'2.melléklet Önkormányzat mérleg'!G19</f>
        <v>7548899</v>
      </c>
      <c r="L19" s="142">
        <f>'2.melléklet Önkormányzat mérleg'!H19</f>
        <v>8280974</v>
      </c>
      <c r="M19" s="142">
        <v>0</v>
      </c>
      <c r="N19" s="142"/>
      <c r="O19" s="28">
        <f t="shared" si="5"/>
        <v>7548899</v>
      </c>
      <c r="P19" s="28">
        <f t="shared" si="6"/>
        <v>8280974</v>
      </c>
    </row>
    <row r="20" spans="1:17" ht="35.25" customHeight="1" x14ac:dyDescent="0.25">
      <c r="A20" s="23" t="s">
        <v>239</v>
      </c>
      <c r="B20" s="127" t="s">
        <v>356</v>
      </c>
      <c r="C20" s="134">
        <f>'2.melléklet Önkormányzat mérleg'!C20</f>
        <v>0</v>
      </c>
      <c r="D20" s="134">
        <f>'2.melléklet Önkormányzat mérleg'!D20</f>
        <v>0</v>
      </c>
      <c r="E20" s="128">
        <v>146192876</v>
      </c>
      <c r="F20" s="128">
        <f>'16mellIntézményi összesített'!J18</f>
        <v>147571834.47</v>
      </c>
      <c r="G20" s="151">
        <f t="shared" si="0"/>
        <v>146192876</v>
      </c>
      <c r="H20" s="151">
        <f t="shared" si="0"/>
        <v>147571834.47</v>
      </c>
      <c r="I20" s="510" t="s">
        <v>217</v>
      </c>
      <c r="J20" s="141" t="s">
        <v>218</v>
      </c>
      <c r="K20" s="142">
        <f>'2.melléklet Önkormányzat mérleg'!G20</f>
        <v>146192875</v>
      </c>
      <c r="L20" s="142">
        <f>'2.melléklet Önkormányzat mérleg'!H20</f>
        <v>147571834.47</v>
      </c>
      <c r="M20" s="142">
        <v>0</v>
      </c>
      <c r="N20" s="142"/>
      <c r="O20" s="28">
        <f t="shared" si="5"/>
        <v>146192875</v>
      </c>
      <c r="P20" s="28">
        <f t="shared" si="6"/>
        <v>147571834.47</v>
      </c>
    </row>
    <row r="21" spans="1:17" ht="21" customHeight="1" x14ac:dyDescent="0.25">
      <c r="A21" s="23" t="s">
        <v>219</v>
      </c>
      <c r="B21" s="127" t="s">
        <v>220</v>
      </c>
      <c r="C21" s="134">
        <f>'2.melléklet Önkormányzat mérleg'!C21</f>
        <v>0</v>
      </c>
      <c r="D21" s="134">
        <f>'2.melléklet Önkormányzat mérleg'!D21</f>
        <v>186769314</v>
      </c>
      <c r="E21" s="132">
        <f>SUM(E19:E20)</f>
        <v>146192876</v>
      </c>
      <c r="F21" s="132">
        <f>SUM(F19:F20)</f>
        <v>151968954.47</v>
      </c>
      <c r="G21" s="151">
        <f t="shared" si="0"/>
        <v>146192876</v>
      </c>
      <c r="H21" s="151">
        <f t="shared" si="0"/>
        <v>338738268.47000003</v>
      </c>
      <c r="I21" s="510" t="s">
        <v>221</v>
      </c>
      <c r="J21" s="141" t="s">
        <v>222</v>
      </c>
      <c r="K21" s="142">
        <f t="shared" ref="K21" si="8">SUM(K19:K20)</f>
        <v>153741774</v>
      </c>
      <c r="L21" s="142">
        <f t="shared" ref="L21" si="9">SUM(L19:L20)</f>
        <v>155852808.47</v>
      </c>
      <c r="M21" s="142">
        <f>SUM(M19:M20)</f>
        <v>0</v>
      </c>
      <c r="N21" s="142"/>
      <c r="O21" s="28">
        <f t="shared" si="5"/>
        <v>153741774</v>
      </c>
      <c r="P21" s="28">
        <f t="shared" si="6"/>
        <v>155852808.47</v>
      </c>
    </row>
    <row r="22" spans="1:17" x14ac:dyDescent="0.25">
      <c r="A22" s="24" t="s">
        <v>223</v>
      </c>
      <c r="B22" s="144" t="s">
        <v>224</v>
      </c>
      <c r="C22" s="145">
        <f>SUM(C21)</f>
        <v>0</v>
      </c>
      <c r="D22" s="145">
        <f>SUM(D21)</f>
        <v>186769314</v>
      </c>
      <c r="E22" s="145">
        <f t="shared" ref="E22:G22" si="10">SUM(E21)</f>
        <v>146192876</v>
      </c>
      <c r="F22" s="145">
        <f t="shared" ref="F22" si="11">SUM(F21)</f>
        <v>151968954.47</v>
      </c>
      <c r="G22" s="145">
        <f t="shared" si="10"/>
        <v>146192876</v>
      </c>
      <c r="H22" s="145">
        <f t="shared" ref="H22" si="12">SUM(H21)</f>
        <v>338738268.47000003</v>
      </c>
      <c r="I22" s="752" t="s">
        <v>225</v>
      </c>
      <c r="J22" s="144" t="s">
        <v>226</v>
      </c>
      <c r="K22" s="146">
        <f t="shared" ref="K22:P22" si="13">SUM(K21)</f>
        <v>153741774</v>
      </c>
      <c r="L22" s="146">
        <f t="shared" ref="L22" si="14">SUM(L21)</f>
        <v>155852808.47</v>
      </c>
      <c r="M22" s="146">
        <f t="shared" si="13"/>
        <v>0</v>
      </c>
      <c r="N22" s="146">
        <f t="shared" si="13"/>
        <v>0</v>
      </c>
      <c r="O22" s="146">
        <f t="shared" si="13"/>
        <v>153741774</v>
      </c>
      <c r="P22" s="146">
        <f t="shared" si="13"/>
        <v>155852808.47</v>
      </c>
    </row>
    <row r="23" spans="1:17" ht="15.75" x14ac:dyDescent="0.25">
      <c r="A23" s="25" t="s">
        <v>227</v>
      </c>
      <c r="B23" s="144"/>
      <c r="C23" s="147">
        <f t="shared" ref="C23:G23" si="15">SUM(C22,C17)</f>
        <v>286747938</v>
      </c>
      <c r="D23" s="147">
        <f t="shared" ref="D23" si="16">SUM(D22,D17)</f>
        <v>456182813</v>
      </c>
      <c r="E23" s="147">
        <f>SUM(E22,E17)</f>
        <v>153492876</v>
      </c>
      <c r="F23" s="147">
        <f>SUM(F22,F17)</f>
        <v>159268954.47</v>
      </c>
      <c r="G23" s="147">
        <f t="shared" si="15"/>
        <v>440240814</v>
      </c>
      <c r="H23" s="147">
        <f t="shared" ref="H23" si="17">SUM(H22,H17)</f>
        <v>615451767.47000003</v>
      </c>
      <c r="I23" s="754" t="s">
        <v>228</v>
      </c>
      <c r="J23" s="144"/>
      <c r="K23" s="148">
        <f>K17+K22</f>
        <v>286747938</v>
      </c>
      <c r="L23" s="148">
        <f t="shared" ref="L23" si="18">L17+L22</f>
        <v>456182812.63999999</v>
      </c>
      <c r="M23" s="148">
        <f t="shared" ref="M23:N23" si="19">M17+M22</f>
        <v>153492876</v>
      </c>
      <c r="N23" s="148">
        <f t="shared" si="19"/>
        <v>159268954.47</v>
      </c>
      <c r="O23" s="148">
        <f>O17+O22</f>
        <v>440240814</v>
      </c>
      <c r="P23" s="148">
        <f>P17+P22</f>
        <v>615451767.11000001</v>
      </c>
    </row>
    <row r="24" spans="1:17" x14ac:dyDescent="0.25">
      <c r="A24" t="s">
        <v>520</v>
      </c>
      <c r="C24" s="150">
        <f>C23-K23</f>
        <v>0</v>
      </c>
      <c r="D24" s="150">
        <f t="shared" ref="D24:H24" si="20">D23-L23</f>
        <v>0.36000001430511475</v>
      </c>
      <c r="E24" s="150">
        <f t="shared" si="20"/>
        <v>0</v>
      </c>
      <c r="F24" s="150">
        <f t="shared" si="20"/>
        <v>0</v>
      </c>
      <c r="G24" s="150">
        <f t="shared" si="20"/>
        <v>0</v>
      </c>
      <c r="H24" s="150">
        <f t="shared" si="20"/>
        <v>0.36000001430511475</v>
      </c>
      <c r="K24" s="150">
        <f>K23-C23</f>
        <v>0</v>
      </c>
      <c r="L24" s="150"/>
      <c r="M24" s="150">
        <f>M23-E23</f>
        <v>0</v>
      </c>
      <c r="N24" s="150"/>
      <c r="O24" s="150">
        <f>O23-G23</f>
        <v>0</v>
      </c>
    </row>
  </sheetData>
  <mergeCells count="15">
    <mergeCell ref="A3:O4"/>
    <mergeCell ref="M1:O1"/>
    <mergeCell ref="A1:G1"/>
    <mergeCell ref="A7:A8"/>
    <mergeCell ref="B7:B8"/>
    <mergeCell ref="C7:D7"/>
    <mergeCell ref="E7:F7"/>
    <mergeCell ref="A6:H6"/>
    <mergeCell ref="G7:H7"/>
    <mergeCell ref="K7:L7"/>
    <mergeCell ref="M7:N7"/>
    <mergeCell ref="I6:P6"/>
    <mergeCell ref="O7:P7"/>
    <mergeCell ref="I7:I8"/>
    <mergeCell ref="J7:J8"/>
  </mergeCells>
  <pageMargins left="0.7" right="0.7" top="0.75" bottom="0.75" header="0.3" footer="0.3"/>
  <pageSetup paperSize="8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="90" zoomScaleNormal="90" workbookViewId="0">
      <selection activeCell="E30" sqref="E30"/>
    </sheetView>
  </sheetViews>
  <sheetFormatPr defaultRowHeight="15" x14ac:dyDescent="0.25"/>
  <cols>
    <col min="1" max="1" width="22.85546875" style="259" customWidth="1"/>
    <col min="2" max="2" width="9.140625" style="259"/>
    <col min="3" max="4" width="23.140625" style="58" customWidth="1"/>
    <col min="5" max="5" width="29.7109375" style="259" customWidth="1"/>
    <col min="6" max="6" width="9.140625" style="259"/>
    <col min="7" max="7" width="22.7109375" style="58" customWidth="1"/>
    <col min="8" max="8" width="26.140625" style="58" customWidth="1"/>
    <col min="9" max="16384" width="9.140625" style="259"/>
  </cols>
  <sheetData>
    <row r="1" spans="1:8" ht="15.75" x14ac:dyDescent="0.25">
      <c r="A1" s="895" t="s">
        <v>745</v>
      </c>
      <c r="B1" s="895"/>
      <c r="C1" s="895"/>
      <c r="D1" s="895"/>
      <c r="E1" s="895"/>
      <c r="F1" s="895"/>
      <c r="G1" s="895"/>
    </row>
    <row r="3" spans="1:8" x14ac:dyDescent="0.25">
      <c r="A3" s="911" t="s">
        <v>724</v>
      </c>
      <c r="B3" s="911"/>
      <c r="C3" s="911"/>
      <c r="D3" s="911"/>
      <c r="E3" s="911"/>
      <c r="F3" s="911"/>
      <c r="G3" s="911"/>
    </row>
    <row r="4" spans="1:8" x14ac:dyDescent="0.25">
      <c r="A4" s="911"/>
      <c r="B4" s="911"/>
      <c r="C4" s="911"/>
      <c r="D4" s="911"/>
      <c r="E4" s="911"/>
      <c r="F4" s="911"/>
      <c r="G4" s="911"/>
    </row>
    <row r="6" spans="1:8" ht="90.75" customHeight="1" x14ac:dyDescent="0.25">
      <c r="A6" s="902" t="s">
        <v>398</v>
      </c>
      <c r="B6" s="903"/>
      <c r="C6" s="903"/>
      <c r="D6" s="903"/>
      <c r="E6" s="912" t="s">
        <v>399</v>
      </c>
      <c r="F6" s="912"/>
      <c r="G6" s="912"/>
      <c r="H6" s="912"/>
    </row>
    <row r="7" spans="1:8" ht="36" x14ac:dyDescent="0.25">
      <c r="A7" s="353" t="s">
        <v>66</v>
      </c>
      <c r="B7" s="125" t="s">
        <v>67</v>
      </c>
      <c r="C7" s="354" t="s">
        <v>725</v>
      </c>
      <c r="D7" s="354" t="s">
        <v>669</v>
      </c>
      <c r="E7" s="126" t="s">
        <v>68</v>
      </c>
      <c r="F7" s="126" t="s">
        <v>67</v>
      </c>
      <c r="G7" s="354" t="s">
        <v>725</v>
      </c>
      <c r="H7" s="354" t="s">
        <v>669</v>
      </c>
    </row>
    <row r="8" spans="1:8" ht="30" x14ac:dyDescent="0.25">
      <c r="A8" s="23" t="s">
        <v>69</v>
      </c>
      <c r="B8" s="127" t="s">
        <v>70</v>
      </c>
      <c r="C8" s="355">
        <v>196840488</v>
      </c>
      <c r="D8" s="355">
        <f>'3mell-Normatíva'!G49</f>
        <v>207024334</v>
      </c>
      <c r="E8" s="356" t="s">
        <v>400</v>
      </c>
      <c r="F8" s="129" t="s">
        <v>99</v>
      </c>
      <c r="G8" s="357">
        <v>33083652</v>
      </c>
      <c r="H8" s="416">
        <f>'6 melléklet kiadás'!C17</f>
        <v>35628952</v>
      </c>
    </row>
    <row r="9" spans="1:8" ht="45" x14ac:dyDescent="0.25">
      <c r="A9" s="23" t="s">
        <v>84</v>
      </c>
      <c r="B9" s="127" t="s">
        <v>85</v>
      </c>
      <c r="C9" s="355">
        <v>10766200</v>
      </c>
      <c r="D9" s="355">
        <f>'3mell-Normatíva'!G50+'3mell-Normatíva'!G54</f>
        <v>11317200</v>
      </c>
      <c r="E9" s="356" t="s">
        <v>401</v>
      </c>
      <c r="F9" s="131" t="s">
        <v>101</v>
      </c>
      <c r="G9" s="357">
        <v>5789639</v>
      </c>
      <c r="H9" s="416">
        <f>'6 melléklet kiadás'!D17</f>
        <v>5456110</v>
      </c>
    </row>
    <row r="10" spans="1:8" ht="38.25" x14ac:dyDescent="0.25">
      <c r="A10" s="23" t="s">
        <v>94</v>
      </c>
      <c r="B10" s="127" t="s">
        <v>95</v>
      </c>
      <c r="C10" s="355">
        <f>SUM(C8:C9)</f>
        <v>207606688</v>
      </c>
      <c r="D10" s="355">
        <f>SUM(D8:D9)</f>
        <v>218341534</v>
      </c>
      <c r="E10" s="356" t="s">
        <v>402</v>
      </c>
      <c r="F10" s="129" t="s">
        <v>181</v>
      </c>
      <c r="G10" s="357">
        <v>45754611</v>
      </c>
      <c r="H10" s="416">
        <f>'6 melléklet kiadás'!E17</f>
        <v>59742812.170000002</v>
      </c>
    </row>
    <row r="11" spans="1:8" ht="25.5" x14ac:dyDescent="0.25">
      <c r="A11" s="23" t="s">
        <v>728</v>
      </c>
      <c r="B11" s="127" t="s">
        <v>103</v>
      </c>
      <c r="C11" s="355"/>
      <c r="D11" s="355">
        <f>'[1]Normatíva 2018'!G66</f>
        <v>0</v>
      </c>
      <c r="E11" s="133" t="s">
        <v>186</v>
      </c>
      <c r="F11" s="127" t="s">
        <v>187</v>
      </c>
      <c r="G11" s="416">
        <v>9100000</v>
      </c>
      <c r="H11" s="416">
        <f>'6 melléklet kiadás'!F17</f>
        <v>14900000</v>
      </c>
    </row>
    <row r="12" spans="1:8" ht="25.5" x14ac:dyDescent="0.25">
      <c r="A12" s="23" t="s">
        <v>146</v>
      </c>
      <c r="B12" s="127" t="s">
        <v>147</v>
      </c>
      <c r="C12" s="355">
        <v>65000000</v>
      </c>
      <c r="D12" s="355">
        <f>'4mellékletKözhatalmi bevételek'!D19</f>
        <v>40400000</v>
      </c>
      <c r="E12" s="23" t="s">
        <v>191</v>
      </c>
      <c r="F12" s="127" t="s">
        <v>192</v>
      </c>
      <c r="G12" s="357">
        <v>4689000</v>
      </c>
      <c r="H12" s="416">
        <f>'6 melléklet kiadás'!G17</f>
        <v>3704811</v>
      </c>
    </row>
    <row r="13" spans="1:8" ht="24" customHeight="1" x14ac:dyDescent="0.25">
      <c r="A13" s="23"/>
      <c r="B13" s="127"/>
      <c r="C13" s="358"/>
      <c r="D13" s="358"/>
      <c r="E13" s="23" t="s">
        <v>420</v>
      </c>
      <c r="F13" s="127" t="s">
        <v>624</v>
      </c>
      <c r="G13" s="859">
        <v>9808428</v>
      </c>
      <c r="H13" s="416">
        <f>'6 melléklet kiadás'!J16</f>
        <v>15179087</v>
      </c>
    </row>
    <row r="14" spans="1:8" ht="25.5" x14ac:dyDescent="0.25">
      <c r="A14" s="23" t="s">
        <v>182</v>
      </c>
      <c r="B14" s="127" t="s">
        <v>633</v>
      </c>
      <c r="C14" s="355">
        <v>12141250</v>
      </c>
      <c r="D14" s="355">
        <f>'5melléklet Működési bevétel'!D31</f>
        <v>10671965</v>
      </c>
      <c r="E14" s="23" t="s">
        <v>203</v>
      </c>
      <c r="F14" s="127" t="s">
        <v>204</v>
      </c>
      <c r="G14" s="359">
        <v>3641684</v>
      </c>
      <c r="H14" s="416">
        <f>'6 melléklet kiadás'!H17</f>
        <v>92718232</v>
      </c>
    </row>
    <row r="15" spans="1:8" ht="25.5" x14ac:dyDescent="0.25">
      <c r="A15" s="23" t="s">
        <v>184</v>
      </c>
      <c r="B15" s="127" t="s">
        <v>185</v>
      </c>
      <c r="C15" s="358"/>
      <c r="D15" s="358"/>
      <c r="E15" s="23" t="s">
        <v>209</v>
      </c>
      <c r="F15" s="127" t="s">
        <v>210</v>
      </c>
      <c r="G15" s="416">
        <v>21139150</v>
      </c>
      <c r="H15" s="416">
        <f>'6 melléklet kiadás'!I17</f>
        <v>73000000</v>
      </c>
    </row>
    <row r="16" spans="1:8" ht="30" x14ac:dyDescent="0.25">
      <c r="A16" s="23" t="s">
        <v>188</v>
      </c>
      <c r="B16" s="127" t="s">
        <v>189</v>
      </c>
      <c r="C16" s="358">
        <v>2000000</v>
      </c>
      <c r="D16" s="358">
        <v>0</v>
      </c>
      <c r="E16" s="37" t="s">
        <v>625</v>
      </c>
      <c r="F16" s="111"/>
      <c r="G16" s="360"/>
      <c r="H16" s="416">
        <v>0</v>
      </c>
    </row>
    <row r="17" spans="1:8" ht="21.75" customHeight="1" x14ac:dyDescent="0.25">
      <c r="A17" s="24" t="s">
        <v>64</v>
      </c>
      <c r="B17" s="137" t="s">
        <v>190</v>
      </c>
      <c r="C17" s="361">
        <f t="shared" ref="C17:D17" si="0">SUM(C10:C16)</f>
        <v>286747938</v>
      </c>
      <c r="D17" s="361">
        <f t="shared" si="0"/>
        <v>269413499</v>
      </c>
      <c r="E17" s="24" t="s">
        <v>65</v>
      </c>
      <c r="F17" s="144"/>
      <c r="G17" s="361">
        <f>SUM(G8:G16)</f>
        <v>133006164</v>
      </c>
      <c r="H17" s="361">
        <f t="shared" ref="H17" si="1">SUM(H8:H16)</f>
        <v>300330004.17000002</v>
      </c>
    </row>
    <row r="18" spans="1:8" ht="38.25" x14ac:dyDescent="0.25">
      <c r="A18" s="23" t="s">
        <v>211</v>
      </c>
      <c r="B18" s="127" t="s">
        <v>212</v>
      </c>
      <c r="C18" s="418"/>
      <c r="D18" s="355">
        <v>186769314</v>
      </c>
      <c r="E18" s="111"/>
      <c r="F18" s="111"/>
      <c r="G18" s="38"/>
      <c r="H18" s="416"/>
    </row>
    <row r="19" spans="1:8" ht="25.5" x14ac:dyDescent="0.25">
      <c r="A19" s="23" t="s">
        <v>215</v>
      </c>
      <c r="B19" s="127" t="s">
        <v>216</v>
      </c>
      <c r="C19" s="355">
        <f>SUM(C18)</f>
        <v>0</v>
      </c>
      <c r="D19" s="355">
        <f>SUM(D18)</f>
        <v>186769314</v>
      </c>
      <c r="E19" s="273" t="s">
        <v>213</v>
      </c>
      <c r="F19" s="141" t="s">
        <v>214</v>
      </c>
      <c r="G19" s="419">
        <v>7548899</v>
      </c>
      <c r="H19" s="416">
        <f>'6 melléklet kiadás'!K17</f>
        <v>8280974</v>
      </c>
    </row>
    <row r="20" spans="1:8" ht="31.5" x14ac:dyDescent="0.25">
      <c r="A20" s="143" t="s">
        <v>239</v>
      </c>
      <c r="B20" s="127" t="s">
        <v>356</v>
      </c>
      <c r="C20" s="355"/>
      <c r="D20" s="355"/>
      <c r="E20" s="273" t="s">
        <v>217</v>
      </c>
      <c r="F20" s="141" t="s">
        <v>218</v>
      </c>
      <c r="G20" s="419">
        <v>146192875</v>
      </c>
      <c r="H20" s="416">
        <f>'6 melléklet kiadás'!L16</f>
        <v>147571834.47</v>
      </c>
    </row>
    <row r="21" spans="1:8" ht="25.5" x14ac:dyDescent="0.25">
      <c r="A21" s="23" t="s">
        <v>219</v>
      </c>
      <c r="B21" s="127" t="s">
        <v>220</v>
      </c>
      <c r="C21" s="355">
        <f>C19+C20</f>
        <v>0</v>
      </c>
      <c r="D21" s="355">
        <f>D19+D20</f>
        <v>186769314</v>
      </c>
      <c r="E21" s="273" t="s">
        <v>221</v>
      </c>
      <c r="F21" s="141" t="s">
        <v>222</v>
      </c>
      <c r="G21" s="417">
        <f>SUM(G19:G20)</f>
        <v>153741774</v>
      </c>
      <c r="H21" s="417">
        <f>SUM(H19:H20)</f>
        <v>155852808.47</v>
      </c>
    </row>
    <row r="22" spans="1:8" x14ac:dyDescent="0.25">
      <c r="A22" s="23" t="s">
        <v>734</v>
      </c>
      <c r="B22" s="127"/>
      <c r="C22" s="355"/>
      <c r="D22" s="355"/>
      <c r="E22" s="273"/>
      <c r="F22" s="141"/>
      <c r="G22" s="362"/>
      <c r="H22" s="416"/>
    </row>
    <row r="23" spans="1:8" x14ac:dyDescent="0.25">
      <c r="A23" s="24" t="s">
        <v>223</v>
      </c>
      <c r="B23" s="144" t="s">
        <v>224</v>
      </c>
      <c r="C23" s="361">
        <f>C21</f>
        <v>0</v>
      </c>
      <c r="D23" s="361">
        <f>D21</f>
        <v>186769314</v>
      </c>
      <c r="E23" s="24" t="s">
        <v>225</v>
      </c>
      <c r="F23" s="144" t="s">
        <v>226</v>
      </c>
      <c r="G23" s="361">
        <f t="shared" ref="G23:H23" si="2">SUM(G21)</f>
        <v>153741774</v>
      </c>
      <c r="H23" s="361">
        <f t="shared" si="2"/>
        <v>155852808.47</v>
      </c>
    </row>
    <row r="24" spans="1:8" ht="15.75" x14ac:dyDescent="0.25">
      <c r="A24" s="25" t="s">
        <v>227</v>
      </c>
      <c r="B24" s="144"/>
      <c r="C24" s="363">
        <f t="shared" ref="C24:D24" si="3">SUM(C23,C17)</f>
        <v>286747938</v>
      </c>
      <c r="D24" s="363">
        <f t="shared" si="3"/>
        <v>456182813</v>
      </c>
      <c r="E24" s="25" t="s">
        <v>228</v>
      </c>
      <c r="F24" s="144"/>
      <c r="G24" s="364">
        <f>G17+G23</f>
        <v>286747938</v>
      </c>
      <c r="H24" s="364">
        <f t="shared" ref="H24" si="4">H17+H23</f>
        <v>456182812.63999999</v>
      </c>
    </row>
    <row r="25" spans="1:8" x14ac:dyDescent="0.25">
      <c r="A25" s="365" t="s">
        <v>520</v>
      </c>
      <c r="B25" s="365"/>
      <c r="C25" s="319">
        <v>0</v>
      </c>
      <c r="D25" s="319">
        <f>D24-H24</f>
        <v>0.36000001430511475</v>
      </c>
      <c r="E25" s="365"/>
      <c r="F25" s="365"/>
      <c r="G25" s="319">
        <f>G24-C24</f>
        <v>0</v>
      </c>
      <c r="H25" s="38"/>
    </row>
  </sheetData>
  <mergeCells count="4">
    <mergeCell ref="A1:G1"/>
    <mergeCell ref="A3:G4"/>
    <mergeCell ref="A6:D6"/>
    <mergeCell ref="E6:H6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H57"/>
  <sheetViews>
    <sheetView workbookViewId="0">
      <selection activeCell="B3" sqref="B3"/>
    </sheetView>
  </sheetViews>
  <sheetFormatPr defaultRowHeight="15" x14ac:dyDescent="0.25"/>
  <cols>
    <col min="1" max="1" width="13.140625" customWidth="1"/>
    <col min="2" max="2" width="71.85546875" bestFit="1" customWidth="1"/>
    <col min="3" max="3" width="7.140625" bestFit="1" customWidth="1"/>
    <col min="4" max="4" width="16.7109375" bestFit="1" customWidth="1"/>
    <col min="5" max="5" width="14.85546875" customWidth="1"/>
    <col min="6" max="6" width="17" customWidth="1"/>
    <col min="7" max="7" width="16.85546875" customWidth="1"/>
  </cols>
  <sheetData>
    <row r="1" spans="1:7" s="106" customFormat="1" ht="15" customHeight="1" x14ac:dyDescent="0.25">
      <c r="A1" s="895" t="s">
        <v>746</v>
      </c>
      <c r="B1" s="895"/>
      <c r="C1" s="895"/>
      <c r="D1" s="895"/>
      <c r="E1" s="895"/>
      <c r="F1" s="895"/>
      <c r="G1" s="895"/>
    </row>
    <row r="2" spans="1:7" s="106" customFormat="1" x14ac:dyDescent="0.25">
      <c r="A2" s="100"/>
      <c r="B2" s="100"/>
    </row>
    <row r="3" spans="1:7" s="106" customFormat="1" x14ac:dyDescent="0.25"/>
    <row r="4" spans="1:7" ht="17.25" customHeight="1" x14ac:dyDescent="0.25">
      <c r="A4" s="918" t="s">
        <v>670</v>
      </c>
      <c r="B4" s="919"/>
      <c r="C4" s="919"/>
      <c r="D4" s="919"/>
      <c r="E4" s="919"/>
    </row>
    <row r="5" spans="1:7" ht="18" customHeight="1" thickBot="1" x14ac:dyDescent="0.3">
      <c r="A5" s="920"/>
      <c r="B5" s="921"/>
      <c r="C5" s="921"/>
      <c r="D5" s="921"/>
      <c r="E5" s="921"/>
    </row>
    <row r="6" spans="1:7" x14ac:dyDescent="0.25">
      <c r="A6" s="11"/>
      <c r="B6" s="11"/>
      <c r="C6" s="11"/>
      <c r="D6" s="11"/>
      <c r="E6" s="11"/>
    </row>
    <row r="7" spans="1:7" ht="15" customHeight="1" x14ac:dyDescent="0.25">
      <c r="A7" s="926" t="s">
        <v>0</v>
      </c>
      <c r="B7" s="927" t="s">
        <v>1</v>
      </c>
      <c r="C7" s="927" t="s">
        <v>2</v>
      </c>
      <c r="D7" s="927"/>
      <c r="E7" s="927"/>
      <c r="F7" s="929" t="s">
        <v>668</v>
      </c>
      <c r="G7" s="930" t="s">
        <v>669</v>
      </c>
    </row>
    <row r="8" spans="1:7" x14ac:dyDescent="0.25">
      <c r="A8" s="926"/>
      <c r="B8" s="927"/>
      <c r="C8" s="16" t="s">
        <v>3</v>
      </c>
      <c r="D8" s="16" t="s">
        <v>4</v>
      </c>
      <c r="E8" s="16" t="s">
        <v>5</v>
      </c>
      <c r="F8" s="929"/>
      <c r="G8" s="930"/>
    </row>
    <row r="9" spans="1:7" x14ac:dyDescent="0.25">
      <c r="A9" s="926"/>
      <c r="B9" s="927"/>
      <c r="C9" s="928" t="s">
        <v>6</v>
      </c>
      <c r="D9" s="928"/>
      <c r="E9" s="928"/>
      <c r="F9" s="929"/>
      <c r="G9" s="930"/>
    </row>
    <row r="10" spans="1:7" x14ac:dyDescent="0.25">
      <c r="A10" s="926"/>
      <c r="B10" s="927"/>
      <c r="C10" s="928">
        <v>2020</v>
      </c>
      <c r="D10" s="928"/>
      <c r="E10" s="928"/>
      <c r="F10" s="929"/>
      <c r="G10" s="930"/>
    </row>
    <row r="11" spans="1:7" x14ac:dyDescent="0.25">
      <c r="A11" s="926"/>
      <c r="B11" s="927"/>
      <c r="C11" s="928"/>
      <c r="D11" s="928"/>
      <c r="E11" s="928"/>
      <c r="F11" s="929"/>
      <c r="G11" s="930"/>
    </row>
    <row r="12" spans="1:7" x14ac:dyDescent="0.25">
      <c r="A12" s="600" t="s">
        <v>7</v>
      </c>
      <c r="B12" s="604" t="s">
        <v>8</v>
      </c>
      <c r="C12" s="606">
        <v>7.79</v>
      </c>
      <c r="D12" s="607">
        <v>5450000</v>
      </c>
      <c r="E12" s="657">
        <v>42455500</v>
      </c>
      <c r="F12" s="658">
        <v>42455500</v>
      </c>
      <c r="G12" s="659">
        <v>42595500</v>
      </c>
    </row>
    <row r="13" spans="1:7" x14ac:dyDescent="0.25">
      <c r="A13" s="601" t="s">
        <v>9</v>
      </c>
      <c r="B13" s="604" t="s">
        <v>10</v>
      </c>
      <c r="C13" s="15"/>
      <c r="D13" s="15"/>
      <c r="E13" s="660">
        <f>SUM(E14:E17)</f>
        <v>24760069</v>
      </c>
      <c r="F13" s="661">
        <f>SUM(F14:F17)</f>
        <v>24760069</v>
      </c>
      <c r="G13" s="660">
        <f>SUM(G14:G17)</f>
        <v>30606343</v>
      </c>
    </row>
    <row r="14" spans="1:7" x14ac:dyDescent="0.25">
      <c r="A14" s="602" t="s">
        <v>11</v>
      </c>
      <c r="B14" s="804" t="s">
        <v>12</v>
      </c>
      <c r="C14" s="15"/>
      <c r="D14" s="15"/>
      <c r="E14" s="698">
        <v>9092160</v>
      </c>
      <c r="F14" s="699">
        <v>9092160</v>
      </c>
      <c r="G14" s="691">
        <v>11195566</v>
      </c>
    </row>
    <row r="15" spans="1:7" x14ac:dyDescent="0.25">
      <c r="A15" s="603" t="s">
        <v>13</v>
      </c>
      <c r="B15" s="804" t="s">
        <v>14</v>
      </c>
      <c r="C15" s="15"/>
      <c r="D15" s="15"/>
      <c r="E15" s="662">
        <v>9152000</v>
      </c>
      <c r="F15" s="663">
        <v>9152000</v>
      </c>
      <c r="G15" s="691">
        <v>11387459</v>
      </c>
    </row>
    <row r="16" spans="1:7" x14ac:dyDescent="0.25">
      <c r="A16" s="603" t="s">
        <v>15</v>
      </c>
      <c r="B16" s="804" t="s">
        <v>16</v>
      </c>
      <c r="C16" s="15"/>
      <c r="D16" s="15"/>
      <c r="E16" s="664">
        <v>977109</v>
      </c>
      <c r="F16" s="665">
        <v>977109</v>
      </c>
      <c r="G16" s="691">
        <v>1203156</v>
      </c>
    </row>
    <row r="17" spans="1:8" x14ac:dyDescent="0.25">
      <c r="A17" s="603" t="s">
        <v>17</v>
      </c>
      <c r="B17" s="804" t="s">
        <v>18</v>
      </c>
      <c r="C17" s="15"/>
      <c r="D17" s="15"/>
      <c r="E17" s="662">
        <v>5538800</v>
      </c>
      <c r="F17" s="663">
        <v>5538800</v>
      </c>
      <c r="G17" s="691">
        <v>6820162</v>
      </c>
    </row>
    <row r="18" spans="1:8" x14ac:dyDescent="0.25">
      <c r="A18" s="601" t="s">
        <v>19</v>
      </c>
      <c r="B18" s="605" t="s">
        <v>20</v>
      </c>
      <c r="C18" s="15"/>
      <c r="D18" s="15"/>
      <c r="E18" s="660">
        <v>7811100</v>
      </c>
      <c r="F18" s="661">
        <v>7811100</v>
      </c>
      <c r="G18" s="659">
        <v>9850743</v>
      </c>
    </row>
    <row r="19" spans="1:8" x14ac:dyDescent="0.25">
      <c r="A19" s="601" t="s">
        <v>21</v>
      </c>
      <c r="B19" s="605" t="s">
        <v>22</v>
      </c>
      <c r="C19" s="15"/>
      <c r="D19" s="15"/>
      <c r="E19" s="660">
        <v>147900</v>
      </c>
      <c r="F19" s="661">
        <v>147900</v>
      </c>
      <c r="G19" s="659">
        <v>163276</v>
      </c>
    </row>
    <row r="20" spans="1:8" x14ac:dyDescent="0.25">
      <c r="A20" s="601" t="s">
        <v>23</v>
      </c>
      <c r="B20" s="605" t="s">
        <v>24</v>
      </c>
      <c r="C20" s="15"/>
      <c r="D20" s="15"/>
      <c r="E20" s="660">
        <v>0</v>
      </c>
      <c r="F20" s="661">
        <v>0</v>
      </c>
      <c r="G20" s="659"/>
    </row>
    <row r="21" spans="1:8" x14ac:dyDescent="0.25">
      <c r="A21" s="601"/>
      <c r="B21" s="605" t="s">
        <v>55</v>
      </c>
      <c r="C21" s="15"/>
      <c r="D21" s="15"/>
      <c r="E21" s="660">
        <v>16105256</v>
      </c>
      <c r="F21" s="661">
        <v>16511178</v>
      </c>
      <c r="G21" s="659">
        <v>9854164</v>
      </c>
    </row>
    <row r="22" spans="1:8" s="259" customFormat="1" x14ac:dyDescent="0.25">
      <c r="A22" s="601"/>
      <c r="B22" s="605" t="s">
        <v>583</v>
      </c>
      <c r="C22" s="15"/>
      <c r="D22" s="15"/>
      <c r="E22" s="660">
        <v>840800</v>
      </c>
      <c r="F22" s="661">
        <v>840800</v>
      </c>
      <c r="G22" s="659"/>
    </row>
    <row r="23" spans="1:8" ht="15.75" thickBot="1" x14ac:dyDescent="0.3">
      <c r="A23" s="608" t="s">
        <v>25</v>
      </c>
      <c r="B23" s="609" t="s">
        <v>26</v>
      </c>
      <c r="C23" s="610"/>
      <c r="D23" s="610"/>
      <c r="E23" s="666">
        <f>SUM(E12,E13,E18,E19,E20,E21,E22)</f>
        <v>92120625</v>
      </c>
      <c r="F23" s="667">
        <f>SUM(F12,F13,F18,F19,F20,F21,F22)</f>
        <v>92526547</v>
      </c>
      <c r="G23" s="666">
        <f>SUM(G12,G13,G18,G19,G20,G21,G22)</f>
        <v>93070026</v>
      </c>
    </row>
    <row r="24" spans="1:8" ht="15.75" thickTop="1" x14ac:dyDescent="0.25">
      <c r="A24" s="922" t="s">
        <v>27</v>
      </c>
      <c r="B24" s="12" t="s">
        <v>28</v>
      </c>
      <c r="C24" s="13">
        <v>8.1</v>
      </c>
      <c r="D24" s="14">
        <v>4371500</v>
      </c>
      <c r="E24" s="668">
        <v>23606100</v>
      </c>
      <c r="F24" s="669">
        <v>23606100</v>
      </c>
      <c r="G24" s="690">
        <v>24955700</v>
      </c>
    </row>
    <row r="25" spans="1:8" x14ac:dyDescent="0.25">
      <c r="A25" s="923"/>
      <c r="B25" s="1" t="s">
        <v>29</v>
      </c>
      <c r="C25" s="2">
        <v>8.1</v>
      </c>
      <c r="D25" s="3">
        <v>4371500</v>
      </c>
      <c r="E25" s="671">
        <v>11803050</v>
      </c>
      <c r="F25" s="672">
        <v>11803050</v>
      </c>
      <c r="G25" s="691">
        <v>12477850</v>
      </c>
    </row>
    <row r="26" spans="1:8" x14ac:dyDescent="0.25">
      <c r="A26" s="923"/>
      <c r="B26" s="1" t="s">
        <v>30</v>
      </c>
      <c r="C26" s="4"/>
      <c r="D26" s="4"/>
      <c r="E26" s="671"/>
      <c r="F26" s="672">
        <v>3322883</v>
      </c>
      <c r="G26" s="691"/>
    </row>
    <row r="27" spans="1:8" x14ac:dyDescent="0.25">
      <c r="A27" s="923"/>
      <c r="B27" s="1" t="s">
        <v>31</v>
      </c>
      <c r="C27" s="2">
        <v>5</v>
      </c>
      <c r="D27" s="3">
        <v>2400000</v>
      </c>
      <c r="E27" s="671">
        <v>8000000</v>
      </c>
      <c r="F27" s="672">
        <v>8000000</v>
      </c>
      <c r="G27" s="691">
        <v>9730000</v>
      </c>
    </row>
    <row r="28" spans="1:8" x14ac:dyDescent="0.25">
      <c r="A28" s="923"/>
      <c r="B28" s="1" t="s">
        <v>32</v>
      </c>
      <c r="C28" s="2">
        <v>5</v>
      </c>
      <c r="D28" s="3">
        <v>2400000</v>
      </c>
      <c r="E28" s="671">
        <v>4000000</v>
      </c>
      <c r="F28" s="672">
        <v>5500000</v>
      </c>
      <c r="G28" s="691">
        <v>4865000</v>
      </c>
    </row>
    <row r="29" spans="1:8" ht="37.5" customHeight="1" x14ac:dyDescent="0.25">
      <c r="A29" s="923"/>
      <c r="B29" s="5" t="s">
        <v>33</v>
      </c>
      <c r="C29" s="6"/>
      <c r="D29" s="6"/>
      <c r="E29" s="673">
        <f>SUM(E24:E28)</f>
        <v>47409150</v>
      </c>
      <c r="F29" s="674">
        <f>SUM(F24:F28)</f>
        <v>52232033</v>
      </c>
      <c r="G29" s="673">
        <f t="shared" ref="G29" si="0">SUM(G24:G28)</f>
        <v>52028550</v>
      </c>
      <c r="H29" s="404"/>
    </row>
    <row r="30" spans="1:8" x14ac:dyDescent="0.25">
      <c r="A30" s="923" t="s">
        <v>34</v>
      </c>
      <c r="B30" s="1" t="s">
        <v>35</v>
      </c>
      <c r="C30" s="613">
        <v>78</v>
      </c>
      <c r="D30" s="3">
        <v>97400</v>
      </c>
      <c r="E30" s="671">
        <v>8084200</v>
      </c>
      <c r="F30" s="672">
        <v>5064800</v>
      </c>
      <c r="G30" s="691">
        <v>7694600</v>
      </c>
    </row>
    <row r="31" spans="1:8" x14ac:dyDescent="0.25">
      <c r="A31" s="923"/>
      <c r="B31" s="1" t="s">
        <v>36</v>
      </c>
      <c r="C31" s="613">
        <v>77</v>
      </c>
      <c r="D31" s="3">
        <v>97400</v>
      </c>
      <c r="E31" s="671">
        <v>0</v>
      </c>
      <c r="F31" s="672">
        <v>2532400</v>
      </c>
      <c r="G31" s="690"/>
    </row>
    <row r="32" spans="1:8" ht="24.75" customHeight="1" x14ac:dyDescent="0.25">
      <c r="A32" s="923"/>
      <c r="B32" s="7" t="s">
        <v>37</v>
      </c>
      <c r="C32" s="614"/>
      <c r="D32" s="8"/>
      <c r="E32" s="673">
        <f>SUM(E30:E31)</f>
        <v>8084200</v>
      </c>
      <c r="F32" s="674">
        <f>SUM(F30:F31)</f>
        <v>7597200</v>
      </c>
      <c r="G32" s="673">
        <f>SUM(G30:G31)</f>
        <v>7694600</v>
      </c>
    </row>
    <row r="33" spans="1:7" ht="24" x14ac:dyDescent="0.25">
      <c r="A33" s="590" t="s">
        <v>654</v>
      </c>
      <c r="B33" s="5" t="s">
        <v>56</v>
      </c>
      <c r="C33" s="614"/>
      <c r="D33" s="8"/>
      <c r="E33" s="673">
        <f>SUM(E34:E36)</f>
        <v>4448342</v>
      </c>
      <c r="F33" s="674">
        <f>SUM(F34:F36)</f>
        <v>4448342</v>
      </c>
      <c r="G33" s="673">
        <f>SUM(G34:G36)</f>
        <v>4950000</v>
      </c>
    </row>
    <row r="34" spans="1:7" s="259" customFormat="1" x14ac:dyDescent="0.25">
      <c r="A34" s="594" t="s">
        <v>657</v>
      </c>
      <c r="B34" s="595" t="s">
        <v>584</v>
      </c>
      <c r="C34" s="615" t="s">
        <v>671</v>
      </c>
      <c r="D34" s="592">
        <v>396700</v>
      </c>
      <c r="E34" s="692">
        <v>1190100</v>
      </c>
      <c r="F34" s="693">
        <v>1190100</v>
      </c>
      <c r="G34" s="691">
        <v>1728000</v>
      </c>
    </row>
    <row r="35" spans="1:7" x14ac:dyDescent="0.25">
      <c r="A35" s="594" t="s">
        <v>655</v>
      </c>
      <c r="B35" s="595" t="s">
        <v>584</v>
      </c>
      <c r="C35" s="615" t="s">
        <v>58</v>
      </c>
      <c r="D35" s="593">
        <v>363642</v>
      </c>
      <c r="E35" s="692">
        <v>363642</v>
      </c>
      <c r="F35" s="693">
        <v>363642</v>
      </c>
      <c r="G35" s="691"/>
    </row>
    <row r="36" spans="1:7" x14ac:dyDescent="0.25">
      <c r="A36" s="594" t="s">
        <v>656</v>
      </c>
      <c r="B36" s="595" t="s">
        <v>538</v>
      </c>
      <c r="C36" s="615" t="s">
        <v>57</v>
      </c>
      <c r="D36" s="593">
        <v>1447300</v>
      </c>
      <c r="E36" s="692">
        <v>2894600</v>
      </c>
      <c r="F36" s="693">
        <v>2894600</v>
      </c>
      <c r="G36" s="691">
        <v>3222000</v>
      </c>
    </row>
    <row r="37" spans="1:7" ht="24.75" thickBot="1" x14ac:dyDescent="0.3">
      <c r="A37" s="597" t="s">
        <v>38</v>
      </c>
      <c r="B37" s="598" t="s">
        <v>39</v>
      </c>
      <c r="C37" s="616"/>
      <c r="D37" s="599"/>
      <c r="E37" s="675">
        <f>SUM(E29,E32,E33)</f>
        <v>59941692</v>
      </c>
      <c r="F37" s="676">
        <f>SUM(F29,F32,F33)</f>
        <v>64277575</v>
      </c>
      <c r="G37" s="675">
        <f>SUM(G29,G32,G33)</f>
        <v>64673150</v>
      </c>
    </row>
    <row r="38" spans="1:7" ht="15.75" thickTop="1" x14ac:dyDescent="0.25">
      <c r="A38" s="631" t="s">
        <v>40</v>
      </c>
      <c r="B38" s="628" t="s">
        <v>41</v>
      </c>
      <c r="C38" s="612"/>
      <c r="D38" s="611"/>
      <c r="E38" s="677">
        <v>18044000</v>
      </c>
      <c r="F38" s="678">
        <v>18044000</v>
      </c>
      <c r="G38" s="872">
        <v>18640000</v>
      </c>
    </row>
    <row r="39" spans="1:7" x14ac:dyDescent="0.25">
      <c r="A39" s="627" t="s">
        <v>42</v>
      </c>
      <c r="B39" s="629" t="s">
        <v>59</v>
      </c>
      <c r="C39" s="617"/>
      <c r="D39" s="9"/>
      <c r="E39" s="679">
        <f>SUM(E40:E41)</f>
        <v>10752000</v>
      </c>
      <c r="F39" s="679">
        <f>SUM(F40:F41)</f>
        <v>11625500</v>
      </c>
      <c r="G39" s="680">
        <f>SUM(G40:G41)</f>
        <v>11213000</v>
      </c>
    </row>
    <row r="40" spans="1:7" x14ac:dyDescent="0.25">
      <c r="A40" s="10"/>
      <c r="B40" s="630" t="s">
        <v>60</v>
      </c>
      <c r="C40" s="618">
        <v>1.5</v>
      </c>
      <c r="D40" s="596">
        <v>2993000</v>
      </c>
      <c r="E40" s="694">
        <v>7412000</v>
      </c>
      <c r="F40" s="694">
        <v>8285500</v>
      </c>
      <c r="G40" s="695">
        <v>9360000</v>
      </c>
    </row>
    <row r="41" spans="1:7" s="259" customFormat="1" x14ac:dyDescent="0.25">
      <c r="A41" s="635"/>
      <c r="B41" s="636" t="s">
        <v>585</v>
      </c>
      <c r="C41" s="637"/>
      <c r="D41" s="637"/>
      <c r="E41" s="696">
        <v>3340000</v>
      </c>
      <c r="F41" s="697">
        <v>3340000</v>
      </c>
      <c r="G41" s="690">
        <v>1853000</v>
      </c>
    </row>
    <row r="42" spans="1:7" x14ac:dyDescent="0.25">
      <c r="A42" s="632" t="s">
        <v>43</v>
      </c>
      <c r="B42" s="633" t="s">
        <v>44</v>
      </c>
      <c r="C42" s="634"/>
      <c r="D42" s="612"/>
      <c r="E42" s="681">
        <f>SUM(E43:E44)</f>
        <v>12076097</v>
      </c>
      <c r="F42" s="682">
        <f>SUM(F43:F44)</f>
        <v>13651697</v>
      </c>
      <c r="G42" s="871">
        <f>SUM(G43:G44)</f>
        <v>12515148</v>
      </c>
    </row>
    <row r="43" spans="1:7" x14ac:dyDescent="0.25">
      <c r="A43" s="644" t="s">
        <v>45</v>
      </c>
      <c r="B43" s="645" t="s">
        <v>46</v>
      </c>
      <c r="C43" s="648">
        <v>4.75</v>
      </c>
      <c r="D43" s="649">
        <v>2200000</v>
      </c>
      <c r="E43" s="683">
        <v>10450000</v>
      </c>
      <c r="F43" s="684">
        <v>12025600</v>
      </c>
      <c r="G43" s="690">
        <v>11666160</v>
      </c>
    </row>
    <row r="44" spans="1:7" x14ac:dyDescent="0.25">
      <c r="A44" s="644" t="s">
        <v>47</v>
      </c>
      <c r="B44" s="645" t="s">
        <v>48</v>
      </c>
      <c r="C44" s="646"/>
      <c r="D44" s="647"/>
      <c r="E44" s="683">
        <v>1626097</v>
      </c>
      <c r="F44" s="684">
        <v>1626097</v>
      </c>
      <c r="G44" s="690">
        <v>848988</v>
      </c>
    </row>
    <row r="45" spans="1:7" ht="15.75" thickBot="1" x14ac:dyDescent="0.3">
      <c r="A45" s="640" t="s">
        <v>62</v>
      </c>
      <c r="B45" s="641" t="s">
        <v>63</v>
      </c>
      <c r="C45" s="642"/>
      <c r="D45" s="643"/>
      <c r="E45" s="685">
        <v>707940</v>
      </c>
      <c r="F45" s="685">
        <v>601920</v>
      </c>
      <c r="G45" s="685">
        <v>639540</v>
      </c>
    </row>
    <row r="46" spans="1:7" ht="53.25" customHeight="1" thickBot="1" x14ac:dyDescent="0.3">
      <c r="A46" s="638" t="s">
        <v>49</v>
      </c>
      <c r="B46" s="639" t="s">
        <v>50</v>
      </c>
      <c r="C46" s="634"/>
      <c r="D46" s="612"/>
      <c r="E46" s="833">
        <f>SUM(E38,E39,E42,E45)</f>
        <v>41580037</v>
      </c>
      <c r="F46" s="834">
        <f>SUM(F38,F39,F42,F45)</f>
        <v>43923117</v>
      </c>
      <c r="G46" s="834">
        <f>SUM(G38,G39,G42,G45)</f>
        <v>43007688</v>
      </c>
    </row>
    <row r="47" spans="1:7" ht="15.75" thickTop="1" x14ac:dyDescent="0.25">
      <c r="A47" s="653"/>
      <c r="B47" s="654" t="s">
        <v>51</v>
      </c>
      <c r="C47" s="655" t="s">
        <v>653</v>
      </c>
      <c r="D47" s="656" t="s">
        <v>586</v>
      </c>
      <c r="E47" s="686">
        <v>3619143</v>
      </c>
      <c r="F47" s="687">
        <v>4999133</v>
      </c>
      <c r="G47" s="670">
        <v>6273470</v>
      </c>
    </row>
    <row r="48" spans="1:7" ht="15.75" thickBot="1" x14ac:dyDescent="0.3">
      <c r="A48" s="650" t="s">
        <v>52</v>
      </c>
      <c r="B48" s="651" t="s">
        <v>53</v>
      </c>
      <c r="C48" s="612"/>
      <c r="D48" s="652"/>
      <c r="E48" s="688">
        <f>E47</f>
        <v>3619143</v>
      </c>
      <c r="F48" s="689">
        <f>F47</f>
        <v>4999133</v>
      </c>
      <c r="G48" s="689">
        <f>G47</f>
        <v>6273470</v>
      </c>
    </row>
    <row r="49" spans="1:7" ht="57" customHeight="1" thickBot="1" x14ac:dyDescent="0.3">
      <c r="A49" s="924" t="s">
        <v>54</v>
      </c>
      <c r="B49" s="925"/>
      <c r="C49" s="619"/>
      <c r="D49" s="316"/>
      <c r="E49" s="835">
        <f t="shared" ref="E49:F49" si="1">SUM(E48,E46,E37,E23)</f>
        <v>197261497</v>
      </c>
      <c r="F49" s="835">
        <f t="shared" si="1"/>
        <v>205726372</v>
      </c>
      <c r="G49" s="835">
        <f>SUM(G48,G46,G37,G23)</f>
        <v>207024334</v>
      </c>
    </row>
    <row r="50" spans="1:7" x14ac:dyDescent="0.25">
      <c r="A50" s="913" t="s">
        <v>85</v>
      </c>
      <c r="B50" s="314" t="s">
        <v>421</v>
      </c>
      <c r="C50" s="620"/>
      <c r="D50" s="315"/>
      <c r="E50" s="586">
        <f>SUM(E51:E53)</f>
        <v>5019400</v>
      </c>
      <c r="F50" s="623">
        <f>SUM(F51:F53)</f>
        <v>6070400</v>
      </c>
      <c r="G50" s="586">
        <f>SUM(G51:G53)</f>
        <v>5570400</v>
      </c>
    </row>
    <row r="51" spans="1:7" x14ac:dyDescent="0.25">
      <c r="A51" s="914"/>
      <c r="B51" s="157" t="s">
        <v>422</v>
      </c>
      <c r="C51" s="621"/>
      <c r="D51" s="158"/>
      <c r="E51" s="587">
        <v>4876600</v>
      </c>
      <c r="F51" s="624">
        <v>5927600</v>
      </c>
      <c r="G51" s="588">
        <v>5427600</v>
      </c>
    </row>
    <row r="52" spans="1:7" x14ac:dyDescent="0.25">
      <c r="A52" s="914"/>
      <c r="B52" s="157" t="s">
        <v>425</v>
      </c>
      <c r="C52" s="621"/>
      <c r="D52" s="158"/>
      <c r="E52" s="588"/>
      <c r="F52" s="625">
        <v>0</v>
      </c>
      <c r="G52" s="588"/>
    </row>
    <row r="53" spans="1:7" x14ac:dyDescent="0.25">
      <c r="A53" s="914"/>
      <c r="B53" s="157" t="s">
        <v>423</v>
      </c>
      <c r="C53" s="621"/>
      <c r="D53" s="158"/>
      <c r="E53" s="587">
        <v>142800</v>
      </c>
      <c r="F53" s="624">
        <v>142800</v>
      </c>
      <c r="G53" s="588">
        <v>142800</v>
      </c>
    </row>
    <row r="54" spans="1:7" x14ac:dyDescent="0.25">
      <c r="A54" s="914"/>
      <c r="B54" s="156" t="s">
        <v>414</v>
      </c>
      <c r="C54" s="622"/>
      <c r="D54" s="156"/>
      <c r="E54" s="589">
        <f>E55</f>
        <v>5746800</v>
      </c>
      <c r="F54" s="626">
        <f>F55</f>
        <v>6651496</v>
      </c>
      <c r="G54" s="589">
        <f>G55</f>
        <v>5746800</v>
      </c>
    </row>
    <row r="55" spans="1:7" x14ac:dyDescent="0.25">
      <c r="A55" s="915"/>
      <c r="B55" s="157" t="s">
        <v>424</v>
      </c>
      <c r="C55" s="621"/>
      <c r="D55" s="158"/>
      <c r="E55" s="587">
        <v>5746800</v>
      </c>
      <c r="F55" s="624">
        <v>6651496</v>
      </c>
      <c r="G55" s="588">
        <v>5746800</v>
      </c>
    </row>
    <row r="56" spans="1:7" ht="26.25" customHeight="1" x14ac:dyDescent="0.25">
      <c r="A56" s="916" t="s">
        <v>730</v>
      </c>
      <c r="B56" s="873" t="s">
        <v>731</v>
      </c>
      <c r="C56" s="874"/>
      <c r="D56" s="875"/>
      <c r="E56" s="876">
        <v>0</v>
      </c>
      <c r="F56" s="879">
        <f>F57</f>
        <v>147550000</v>
      </c>
      <c r="G56" s="877"/>
    </row>
    <row r="57" spans="1:7" ht="26.25" customHeight="1" thickBot="1" x14ac:dyDescent="0.3">
      <c r="A57" s="917"/>
      <c r="B57" s="880" t="s">
        <v>732</v>
      </c>
      <c r="C57" s="881"/>
      <c r="D57" s="882"/>
      <c r="E57" s="883"/>
      <c r="F57" s="884">
        <v>147550000</v>
      </c>
      <c r="G57" s="885"/>
    </row>
  </sheetData>
  <mergeCells count="14">
    <mergeCell ref="A50:A55"/>
    <mergeCell ref="A56:A57"/>
    <mergeCell ref="A4:E5"/>
    <mergeCell ref="A1:G1"/>
    <mergeCell ref="A24:A29"/>
    <mergeCell ref="A30:A32"/>
    <mergeCell ref="A49:B49"/>
    <mergeCell ref="A7:A11"/>
    <mergeCell ref="B7:B11"/>
    <mergeCell ref="C7:E7"/>
    <mergeCell ref="C9:E9"/>
    <mergeCell ref="C10:E11"/>
    <mergeCell ref="F7:F11"/>
    <mergeCell ref="G7:G11"/>
  </mergeCells>
  <pageMargins left="0.25" right="0.25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19"/>
  <sheetViews>
    <sheetView zoomScale="150" zoomScaleNormal="150" workbookViewId="0">
      <selection sqref="A1:G1"/>
    </sheetView>
  </sheetViews>
  <sheetFormatPr defaultRowHeight="15" x14ac:dyDescent="0.25"/>
  <cols>
    <col min="1" max="1" width="25.7109375" customWidth="1"/>
    <col min="2" max="2" width="14.85546875" customWidth="1"/>
    <col min="3" max="3" width="17.5703125" customWidth="1"/>
    <col min="4" max="4" width="17" style="17" customWidth="1"/>
  </cols>
  <sheetData>
    <row r="1" spans="1:7" ht="15" customHeight="1" x14ac:dyDescent="0.25">
      <c r="A1" s="895" t="s">
        <v>747</v>
      </c>
      <c r="B1" s="895"/>
      <c r="C1" s="895"/>
      <c r="D1" s="895"/>
      <c r="E1" s="895"/>
      <c r="F1" s="895"/>
      <c r="G1" s="895"/>
    </row>
    <row r="2" spans="1:7" s="106" customFormat="1" x14ac:dyDescent="0.25">
      <c r="A2" s="100"/>
      <c r="B2" s="100"/>
      <c r="D2" s="17"/>
    </row>
    <row r="3" spans="1:7" s="106" customFormat="1" ht="36.75" customHeight="1" x14ac:dyDescent="0.25">
      <c r="A3" s="931" t="s">
        <v>667</v>
      </c>
      <c r="B3" s="931"/>
      <c r="C3" s="931"/>
      <c r="D3" s="17"/>
    </row>
    <row r="4" spans="1:7" s="106" customFormat="1" x14ac:dyDescent="0.25">
      <c r="A4" s="100"/>
      <c r="B4" s="100"/>
      <c r="D4" s="17"/>
    </row>
    <row r="5" spans="1:7" ht="47.25" x14ac:dyDescent="0.25">
      <c r="A5" s="725" t="s">
        <v>66</v>
      </c>
      <c r="B5" s="725" t="s">
        <v>67</v>
      </c>
      <c r="C5" s="726" t="s">
        <v>668</v>
      </c>
      <c r="D5" s="727" t="s">
        <v>669</v>
      </c>
    </row>
    <row r="6" spans="1:7" x14ac:dyDescent="0.25">
      <c r="A6" s="533" t="s">
        <v>104</v>
      </c>
      <c r="B6" s="574" t="s">
        <v>105</v>
      </c>
      <c r="C6" s="576">
        <f>SUM(C7:C9)</f>
        <v>11217931</v>
      </c>
      <c r="D6" s="576">
        <f t="shared" ref="D6" si="0">SUM(D7:D9)</f>
        <v>11800000</v>
      </c>
    </row>
    <row r="7" spans="1:7" x14ac:dyDescent="0.25">
      <c r="A7" s="932" t="s">
        <v>108</v>
      </c>
      <c r="B7" s="932"/>
      <c r="C7" s="572">
        <v>2933523</v>
      </c>
      <c r="D7" s="568">
        <v>3000000</v>
      </c>
    </row>
    <row r="8" spans="1:7" x14ac:dyDescent="0.25">
      <c r="A8" s="932" t="s">
        <v>111</v>
      </c>
      <c r="B8" s="932"/>
      <c r="C8" s="572">
        <v>8284408</v>
      </c>
      <c r="D8" s="568">
        <v>8800000</v>
      </c>
    </row>
    <row r="9" spans="1:7" x14ac:dyDescent="0.25">
      <c r="A9" s="932" t="s">
        <v>114</v>
      </c>
      <c r="B9" s="932"/>
      <c r="C9" s="572">
        <v>0</v>
      </c>
      <c r="D9" s="569">
        <v>0</v>
      </c>
    </row>
    <row r="10" spans="1:7" x14ac:dyDescent="0.25">
      <c r="A10" s="21" t="s">
        <v>117</v>
      </c>
      <c r="B10" s="22" t="s">
        <v>118</v>
      </c>
      <c r="C10" s="571">
        <f>SUM(C11)</f>
        <v>35616677</v>
      </c>
      <c r="D10" s="571">
        <f t="shared" ref="D10" si="1">SUM(D11)</f>
        <v>25000000</v>
      </c>
    </row>
    <row r="11" spans="1:7" x14ac:dyDescent="0.25">
      <c r="A11" s="932" t="s">
        <v>121</v>
      </c>
      <c r="B11" s="932"/>
      <c r="C11" s="572">
        <v>35616677</v>
      </c>
      <c r="D11" s="568">
        <v>25000000</v>
      </c>
    </row>
    <row r="12" spans="1:7" x14ac:dyDescent="0.25">
      <c r="A12" s="21" t="s">
        <v>124</v>
      </c>
      <c r="B12" s="22" t="s">
        <v>125</v>
      </c>
      <c r="C12" s="571">
        <v>0</v>
      </c>
      <c r="D12" s="573">
        <v>0</v>
      </c>
    </row>
    <row r="13" spans="1:7" ht="25.5" x14ac:dyDescent="0.25">
      <c r="A13" s="18" t="s">
        <v>128</v>
      </c>
      <c r="B13" s="19" t="s">
        <v>537</v>
      </c>
      <c r="C13" s="571">
        <v>0</v>
      </c>
      <c r="D13" s="570">
        <v>0</v>
      </c>
    </row>
    <row r="14" spans="1:7" ht="25.5" x14ac:dyDescent="0.25">
      <c r="A14" s="533" t="s">
        <v>133</v>
      </c>
      <c r="B14" s="574" t="s">
        <v>134</v>
      </c>
      <c r="C14" s="575">
        <f>SUM(C10,C12,C13)</f>
        <v>35616677</v>
      </c>
      <c r="D14" s="576">
        <f>SUM(D10,D12,D13)</f>
        <v>25000000</v>
      </c>
    </row>
    <row r="15" spans="1:7" x14ac:dyDescent="0.25">
      <c r="A15" s="533" t="s">
        <v>137</v>
      </c>
      <c r="B15" s="574" t="s">
        <v>138</v>
      </c>
      <c r="C15" s="576">
        <f>SUM(C16:C18)</f>
        <v>3588346</v>
      </c>
      <c r="D15" s="576">
        <f t="shared" ref="D15" si="2">SUM(D16:D18)</f>
        <v>3600000</v>
      </c>
    </row>
    <row r="16" spans="1:7" x14ac:dyDescent="0.25">
      <c r="A16" s="932" t="s">
        <v>141</v>
      </c>
      <c r="B16" s="932"/>
      <c r="C16" s="572">
        <v>80000</v>
      </c>
      <c r="D16" s="568">
        <v>0</v>
      </c>
    </row>
    <row r="17" spans="1:4" x14ac:dyDescent="0.25">
      <c r="A17" s="932" t="s">
        <v>588</v>
      </c>
      <c r="B17" s="932"/>
      <c r="C17" s="572">
        <v>518961</v>
      </c>
      <c r="D17" s="568">
        <v>600000</v>
      </c>
    </row>
    <row r="18" spans="1:4" x14ac:dyDescent="0.25">
      <c r="A18" s="932" t="s">
        <v>589</v>
      </c>
      <c r="B18" s="932"/>
      <c r="C18" s="572">
        <v>2989385</v>
      </c>
      <c r="D18" s="568">
        <v>3000000</v>
      </c>
    </row>
    <row r="19" spans="1:4" ht="25.5" x14ac:dyDescent="0.25">
      <c r="A19" s="536" t="s">
        <v>146</v>
      </c>
      <c r="B19" s="577" t="s">
        <v>147</v>
      </c>
      <c r="C19" s="578">
        <f>SUM(C6,C14,C15)</f>
        <v>50422954</v>
      </c>
      <c r="D19" s="578">
        <f>SUM(D6,D14,D15)</f>
        <v>40400000</v>
      </c>
    </row>
  </sheetData>
  <mergeCells count="9">
    <mergeCell ref="A1:G1"/>
    <mergeCell ref="A3:C3"/>
    <mergeCell ref="A17:B17"/>
    <mergeCell ref="A18:B18"/>
    <mergeCell ref="A7:B7"/>
    <mergeCell ref="A8:B8"/>
    <mergeCell ref="A9:B9"/>
    <mergeCell ref="A11:B11"/>
    <mergeCell ref="A16:B16"/>
  </mergeCells>
  <pageMargins left="0.82677165354330717" right="0.23622047244094491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Q31"/>
  <sheetViews>
    <sheetView topLeftCell="A9" zoomScaleSheetLayoutView="110" workbookViewId="0">
      <selection sqref="A1:D1"/>
    </sheetView>
  </sheetViews>
  <sheetFormatPr defaultRowHeight="15" x14ac:dyDescent="0.25"/>
  <cols>
    <col min="1" max="1" width="48" customWidth="1"/>
    <col min="2" max="2" width="18.42578125" customWidth="1"/>
    <col min="3" max="3" width="24.5703125" customWidth="1"/>
    <col min="4" max="4" width="22" customWidth="1"/>
  </cols>
  <sheetData>
    <row r="1" spans="1:17" s="106" customFormat="1" ht="15" customHeight="1" x14ac:dyDescent="0.25">
      <c r="A1" s="933" t="s">
        <v>742</v>
      </c>
      <c r="B1" s="933"/>
      <c r="C1" s="933"/>
      <c r="D1" s="933"/>
      <c r="E1" s="585"/>
      <c r="F1" s="585"/>
      <c r="G1" s="585"/>
    </row>
    <row r="2" spans="1:17" s="106" customFormat="1" x14ac:dyDescent="0.25">
      <c r="A2" s="100"/>
      <c r="B2" s="100"/>
    </row>
    <row r="3" spans="1:17" s="106" customFormat="1" x14ac:dyDescent="0.25">
      <c r="A3" s="100"/>
      <c r="B3" s="100"/>
    </row>
    <row r="4" spans="1:17" s="106" customFormat="1" x14ac:dyDescent="0.25">
      <c r="A4" s="894" t="s">
        <v>691</v>
      </c>
      <c r="B4" s="894"/>
      <c r="C4" s="894"/>
      <c r="D4" s="124"/>
      <c r="E4" s="124"/>
    </row>
    <row r="5" spans="1:17" s="106" customFormat="1" ht="15.75" thickBot="1" x14ac:dyDescent="0.3">
      <c r="B5" s="26"/>
      <c r="C5" s="26" t="s">
        <v>388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1:17" ht="31.5" x14ac:dyDescent="0.25">
      <c r="A6" s="412" t="s">
        <v>66</v>
      </c>
      <c r="B6" s="413" t="s">
        <v>67</v>
      </c>
      <c r="C6" s="414" t="s">
        <v>668</v>
      </c>
      <c r="D6" s="415" t="s">
        <v>669</v>
      </c>
    </row>
    <row r="7" spans="1:17" ht="15.75" x14ac:dyDescent="0.25">
      <c r="A7" s="405" t="s">
        <v>150</v>
      </c>
      <c r="B7" s="567" t="s">
        <v>151</v>
      </c>
      <c r="C7" s="406">
        <v>14173</v>
      </c>
      <c r="D7" s="408">
        <v>15000</v>
      </c>
    </row>
    <row r="8" spans="1:17" ht="15.75" x14ac:dyDescent="0.25">
      <c r="A8" s="405" t="s">
        <v>154</v>
      </c>
      <c r="B8" s="567" t="s">
        <v>155</v>
      </c>
      <c r="C8" s="406">
        <f>SUM(C9:C14)</f>
        <v>3574178</v>
      </c>
      <c r="D8" s="408">
        <f>SUM(D9:D14)</f>
        <v>4564500</v>
      </c>
    </row>
    <row r="9" spans="1:17" s="194" customFormat="1" ht="15.75" x14ac:dyDescent="0.25">
      <c r="A9" s="409" t="s">
        <v>533</v>
      </c>
      <c r="B9" s="567"/>
      <c r="C9" s="410">
        <v>1593230</v>
      </c>
      <c r="D9" s="407">
        <v>1672000</v>
      </c>
    </row>
    <row r="10" spans="1:17" s="194" customFormat="1" ht="15.75" x14ac:dyDescent="0.25">
      <c r="A10" s="409" t="s">
        <v>530</v>
      </c>
      <c r="B10" s="567"/>
      <c r="C10" s="410">
        <v>630000</v>
      </c>
      <c r="D10" s="407">
        <v>892500</v>
      </c>
    </row>
    <row r="11" spans="1:17" s="194" customFormat="1" ht="15.75" x14ac:dyDescent="0.25">
      <c r="A11" s="409" t="s">
        <v>531</v>
      </c>
      <c r="B11" s="567"/>
      <c r="C11" s="410">
        <v>574448</v>
      </c>
      <c r="D11" s="407">
        <v>1000000</v>
      </c>
    </row>
    <row r="12" spans="1:17" s="194" customFormat="1" ht="15.75" x14ac:dyDescent="0.25">
      <c r="A12" s="409" t="s">
        <v>532</v>
      </c>
      <c r="B12" s="567"/>
      <c r="C12" s="410">
        <v>0</v>
      </c>
      <c r="D12" s="407">
        <v>0</v>
      </c>
    </row>
    <row r="13" spans="1:17" s="194" customFormat="1" ht="15.75" x14ac:dyDescent="0.25">
      <c r="A13" s="409" t="s">
        <v>587</v>
      </c>
      <c r="B13" s="567"/>
      <c r="C13" s="410">
        <v>776500</v>
      </c>
      <c r="D13" s="407">
        <v>1000000</v>
      </c>
    </row>
    <row r="14" spans="1:17" s="194" customFormat="1" ht="31.5" x14ac:dyDescent="0.25">
      <c r="A14" s="409" t="s">
        <v>536</v>
      </c>
      <c r="B14" s="567"/>
      <c r="C14" s="410"/>
      <c r="D14" s="407">
        <v>0</v>
      </c>
    </row>
    <row r="15" spans="1:17" ht="15.75" x14ac:dyDescent="0.25">
      <c r="A15" s="405" t="s">
        <v>160</v>
      </c>
      <c r="B15" s="567" t="s">
        <v>161</v>
      </c>
      <c r="C15" s="406">
        <v>200000</v>
      </c>
      <c r="D15" s="406">
        <v>1240000</v>
      </c>
    </row>
    <row r="16" spans="1:17" ht="15.75" x14ac:dyDescent="0.25">
      <c r="A16" s="405" t="s">
        <v>164</v>
      </c>
      <c r="B16" s="567" t="s">
        <v>165</v>
      </c>
      <c r="C16" s="406">
        <f>SUM(C17:C18)</f>
        <v>1976063</v>
      </c>
      <c r="D16" s="408">
        <f>SUM(D17:D18)</f>
        <v>2560000</v>
      </c>
    </row>
    <row r="17" spans="1:4" s="194" customFormat="1" ht="15.75" x14ac:dyDescent="0.25">
      <c r="A17" s="409" t="s">
        <v>534</v>
      </c>
      <c r="B17" s="567"/>
      <c r="C17" s="410">
        <v>61487</v>
      </c>
      <c r="D17" s="407">
        <v>60000</v>
      </c>
    </row>
    <row r="18" spans="1:4" s="194" customFormat="1" ht="15.75" x14ac:dyDescent="0.25">
      <c r="A18" s="409" t="s">
        <v>535</v>
      </c>
      <c r="B18" s="567"/>
      <c r="C18" s="410">
        <v>1914576</v>
      </c>
      <c r="D18" s="407">
        <v>2500000</v>
      </c>
    </row>
    <row r="19" spans="1:4" ht="15.75" x14ac:dyDescent="0.25">
      <c r="A19" s="405" t="s">
        <v>168</v>
      </c>
      <c r="B19" s="567" t="s">
        <v>169</v>
      </c>
      <c r="C19" s="408">
        <f>SUM(C7,C9,C10,C11,C15,C16,)*0.27</f>
        <v>1346736.78</v>
      </c>
      <c r="D19" s="408">
        <f>SUM(D7,D9,D10,D11,D15,D16,)*0.27</f>
        <v>1992465.0000000002</v>
      </c>
    </row>
    <row r="20" spans="1:4" ht="15.75" x14ac:dyDescent="0.25">
      <c r="A20" s="405" t="s">
        <v>172</v>
      </c>
      <c r="B20" s="567" t="s">
        <v>173</v>
      </c>
      <c r="C20" s="410">
        <v>55</v>
      </c>
      <c r="D20" s="407">
        <v>0</v>
      </c>
    </row>
    <row r="21" spans="1:4" s="259" customFormat="1" ht="15.75" x14ac:dyDescent="0.25">
      <c r="A21" s="405" t="s">
        <v>176</v>
      </c>
      <c r="B21" s="567" t="s">
        <v>177</v>
      </c>
      <c r="C21" s="410">
        <v>0</v>
      </c>
      <c r="D21" s="407">
        <f t="shared" ref="D21" si="0">C21</f>
        <v>0</v>
      </c>
    </row>
    <row r="22" spans="1:4" ht="15.75" x14ac:dyDescent="0.25">
      <c r="A22" s="405" t="s">
        <v>648</v>
      </c>
      <c r="B22" s="567" t="s">
        <v>649</v>
      </c>
      <c r="C22" s="410">
        <v>768011</v>
      </c>
      <c r="D22" s="407">
        <v>0</v>
      </c>
    </row>
    <row r="23" spans="1:4" ht="16.5" thickBot="1" x14ac:dyDescent="0.3">
      <c r="A23" s="579" t="s">
        <v>182</v>
      </c>
      <c r="B23" s="580" t="s">
        <v>183</v>
      </c>
      <c r="C23" s="581">
        <f>SUM(C7,C8,C16,C15,C19:C22)</f>
        <v>7879216.7800000003</v>
      </c>
      <c r="D23" s="581">
        <f>SUM(D7,D8,D16,D15,D19:D22)</f>
        <v>10371965</v>
      </c>
    </row>
    <row r="24" spans="1:4" ht="15.75" x14ac:dyDescent="0.25">
      <c r="A24" s="405"/>
      <c r="B24" s="567"/>
      <c r="C24" s="406"/>
      <c r="D24" s="411"/>
    </row>
    <row r="25" spans="1:4" ht="15.75" x14ac:dyDescent="0.25">
      <c r="A25" s="405" t="s">
        <v>630</v>
      </c>
      <c r="B25" s="567" t="s">
        <v>631</v>
      </c>
      <c r="C25" s="410">
        <v>2100000</v>
      </c>
      <c r="D25" s="407">
        <v>0</v>
      </c>
    </row>
    <row r="26" spans="1:4" ht="15.75" x14ac:dyDescent="0.25">
      <c r="A26" s="405" t="s">
        <v>651</v>
      </c>
      <c r="B26" s="567" t="s">
        <v>650</v>
      </c>
      <c r="C26" s="410">
        <v>290000</v>
      </c>
      <c r="D26" s="407">
        <v>300000</v>
      </c>
    </row>
    <row r="27" spans="1:4" ht="15.75" x14ac:dyDescent="0.25">
      <c r="A27" s="409"/>
      <c r="B27" s="567"/>
      <c r="C27" s="410"/>
      <c r="D27" s="407">
        <f t="shared" ref="D27:D30" si="1">C27</f>
        <v>0</v>
      </c>
    </row>
    <row r="28" spans="1:4" ht="16.5" thickBot="1" x14ac:dyDescent="0.3">
      <c r="A28" s="579" t="s">
        <v>628</v>
      </c>
      <c r="B28" s="580" t="s">
        <v>629</v>
      </c>
      <c r="C28" s="581">
        <f>SUM(C25,C26)</f>
        <v>2390000</v>
      </c>
      <c r="D28" s="581">
        <f>SUM(D26,D25)</f>
        <v>300000</v>
      </c>
    </row>
    <row r="29" spans="1:4" ht="15.75" x14ac:dyDescent="0.25">
      <c r="A29" s="405"/>
      <c r="B29" s="567"/>
      <c r="C29" s="410"/>
      <c r="D29" s="407">
        <f t="shared" si="1"/>
        <v>0</v>
      </c>
    </row>
    <row r="30" spans="1:4" ht="15.75" x14ac:dyDescent="0.25">
      <c r="A30" s="405"/>
      <c r="B30" s="567"/>
      <c r="C30" s="410"/>
      <c r="D30" s="407">
        <f t="shared" si="1"/>
        <v>0</v>
      </c>
    </row>
    <row r="31" spans="1:4" ht="32.25" thickBot="1" x14ac:dyDescent="0.3">
      <c r="A31" s="582" t="s">
        <v>632</v>
      </c>
      <c r="B31" s="583" t="s">
        <v>652</v>
      </c>
      <c r="C31" s="584">
        <f>SUM(C23,C28)</f>
        <v>10269216.780000001</v>
      </c>
      <c r="D31" s="584">
        <f>SUM(D23,D28)</f>
        <v>10671965</v>
      </c>
    </row>
  </sheetData>
  <mergeCells count="2">
    <mergeCell ref="A4:C4"/>
    <mergeCell ref="A1:D1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M17"/>
  <sheetViews>
    <sheetView workbookViewId="0">
      <selection activeCell="C20" sqref="C20"/>
    </sheetView>
  </sheetViews>
  <sheetFormatPr defaultRowHeight="15" x14ac:dyDescent="0.25"/>
  <cols>
    <col min="1" max="1" width="35.28515625" customWidth="1"/>
    <col min="2" max="2" width="20.140625" customWidth="1"/>
    <col min="3" max="3" width="20.7109375" customWidth="1"/>
    <col min="4" max="4" width="18.28515625" customWidth="1"/>
    <col min="5" max="5" width="19.5703125" customWidth="1"/>
    <col min="6" max="6" width="18.28515625" customWidth="1"/>
    <col min="7" max="7" width="14.42578125" customWidth="1"/>
    <col min="8" max="8" width="17.85546875" customWidth="1"/>
    <col min="9" max="9" width="16.5703125" customWidth="1"/>
    <col min="10" max="10" width="13.5703125" customWidth="1"/>
    <col min="11" max="11" width="17.42578125" customWidth="1"/>
    <col min="12" max="12" width="17.140625" customWidth="1"/>
    <col min="13" max="13" width="16.42578125" customWidth="1"/>
  </cols>
  <sheetData>
    <row r="1" spans="1:13" ht="15.75" x14ac:dyDescent="0.25">
      <c r="B1" s="895" t="s">
        <v>743</v>
      </c>
      <c r="C1" s="895"/>
      <c r="D1" s="895"/>
      <c r="E1" s="895"/>
      <c r="F1" s="895"/>
      <c r="G1" s="895"/>
      <c r="H1" s="895"/>
    </row>
    <row r="2" spans="1:13" s="259" customFormat="1" x14ac:dyDescent="0.25"/>
    <row r="3" spans="1:13" s="259" customFormat="1" x14ac:dyDescent="0.25">
      <c r="B3" s="936" t="s">
        <v>729</v>
      </c>
      <c r="C3" s="936"/>
      <c r="D3" s="936"/>
      <c r="E3" s="936"/>
      <c r="F3" s="936"/>
      <c r="G3" s="936"/>
      <c r="H3" s="936"/>
      <c r="I3" s="936"/>
      <c r="J3" s="936"/>
    </row>
    <row r="4" spans="1:13" ht="15.75" thickBot="1" x14ac:dyDescent="0.3"/>
    <row r="5" spans="1:13" s="35" customFormat="1" ht="15" customHeight="1" x14ac:dyDescent="0.25">
      <c r="A5" s="939" t="s">
        <v>597</v>
      </c>
      <c r="B5" s="934"/>
      <c r="C5" s="937" t="s">
        <v>598</v>
      </c>
      <c r="D5" s="937" t="s">
        <v>599</v>
      </c>
      <c r="E5" s="937" t="s">
        <v>233</v>
      </c>
      <c r="F5" s="937" t="s">
        <v>600</v>
      </c>
      <c r="G5" s="937" t="s">
        <v>601</v>
      </c>
      <c r="H5" s="937" t="s">
        <v>234</v>
      </c>
      <c r="I5" s="937" t="s">
        <v>389</v>
      </c>
      <c r="J5" s="937" t="s">
        <v>602</v>
      </c>
      <c r="K5" s="937" t="s">
        <v>603</v>
      </c>
      <c r="L5" s="937" t="s">
        <v>604</v>
      </c>
      <c r="M5" s="934" t="s">
        <v>230</v>
      </c>
    </row>
    <row r="6" spans="1:13" s="35" customFormat="1" ht="15.75" thickBot="1" x14ac:dyDescent="0.3">
      <c r="A6" s="940"/>
      <c r="B6" s="935"/>
      <c r="C6" s="938"/>
      <c r="D6" s="938"/>
      <c r="E6" s="938"/>
      <c r="F6" s="938"/>
      <c r="G6" s="938"/>
      <c r="H6" s="938"/>
      <c r="I6" s="938"/>
      <c r="J6" s="938"/>
      <c r="K6" s="938"/>
      <c r="L6" s="938"/>
      <c r="M6" s="935"/>
    </row>
    <row r="7" spans="1:13" x14ac:dyDescent="0.25">
      <c r="A7" s="317" t="s">
        <v>605</v>
      </c>
      <c r="B7" s="318" t="s">
        <v>6</v>
      </c>
      <c r="C7" s="319">
        <f>'7.melléklet Általános kiadások'!D20</f>
        <v>11281532</v>
      </c>
      <c r="D7" s="319">
        <f>'7.melléklet Általános kiadások'!D21</f>
        <v>1636832</v>
      </c>
      <c r="E7" s="319">
        <f>'7.melléklet Általános kiadások'!D78</f>
        <v>13708972</v>
      </c>
      <c r="F7" s="319"/>
      <c r="G7" s="319"/>
      <c r="H7" s="319"/>
      <c r="I7" s="319"/>
      <c r="J7" s="319"/>
      <c r="K7" s="319"/>
      <c r="L7" s="319"/>
      <c r="M7" s="887">
        <f>SUM(C7:I7)</f>
        <v>26627336</v>
      </c>
    </row>
    <row r="8" spans="1:13" x14ac:dyDescent="0.25">
      <c r="A8" s="320" t="s">
        <v>606</v>
      </c>
      <c r="B8" s="321" t="s">
        <v>6</v>
      </c>
      <c r="C8" s="38">
        <f>'8.melléklet Település üzemelte'!P17</f>
        <v>10107300</v>
      </c>
      <c r="D8" s="38">
        <f>'8.melléklet Település üzemelte'!P18</f>
        <v>1566635</v>
      </c>
      <c r="E8" s="117">
        <f>'8.melléklet Település üzemelte'!P75</f>
        <v>21233200</v>
      </c>
      <c r="F8" s="38"/>
      <c r="G8" s="38"/>
      <c r="H8" s="38"/>
      <c r="I8" s="38"/>
      <c r="J8" s="38"/>
      <c r="K8" s="38"/>
      <c r="L8" s="38"/>
      <c r="M8" s="888">
        <f>SUM(C8:L8)</f>
        <v>32907135</v>
      </c>
    </row>
    <row r="9" spans="1:13" x14ac:dyDescent="0.25">
      <c r="A9" s="320" t="s">
        <v>607</v>
      </c>
      <c r="B9" s="321" t="s">
        <v>6</v>
      </c>
      <c r="C9" s="38">
        <v>0</v>
      </c>
      <c r="D9" s="38">
        <v>0</v>
      </c>
      <c r="E9" s="38">
        <f>'9.melléklet Étkeztetés'!H12</f>
        <v>13733090.17</v>
      </c>
      <c r="F9" s="38"/>
      <c r="G9" s="38"/>
      <c r="H9" s="38"/>
      <c r="I9" s="38"/>
      <c r="J9" s="38"/>
      <c r="K9" s="38"/>
      <c r="L9" s="38"/>
      <c r="M9" s="888">
        <f t="shared" ref="M9:M15" si="0">SUM(C9:I9)</f>
        <v>13733090.17</v>
      </c>
    </row>
    <row r="10" spans="1:13" x14ac:dyDescent="0.25">
      <c r="A10" s="320" t="s">
        <v>411</v>
      </c>
      <c r="B10" s="321" t="s">
        <v>6</v>
      </c>
      <c r="C10" s="38">
        <f>'10.mell Egészségügyi'!N20</f>
        <v>9349400</v>
      </c>
      <c r="D10" s="38">
        <f>'10.mell Egészségügyi'!N21</f>
        <v>1396767</v>
      </c>
      <c r="E10" s="38">
        <f>'10.mell Egészségügyi'!N78</f>
        <v>11067550</v>
      </c>
      <c r="F10" s="38"/>
      <c r="G10" s="38"/>
      <c r="H10" s="38"/>
      <c r="I10" s="38"/>
      <c r="J10" s="38"/>
      <c r="K10" s="38"/>
      <c r="L10" s="38"/>
      <c r="M10" s="888">
        <f t="shared" si="0"/>
        <v>21813717</v>
      </c>
    </row>
    <row r="11" spans="1:13" x14ac:dyDescent="0.25">
      <c r="A11" s="320" t="s">
        <v>608</v>
      </c>
      <c r="B11" s="321" t="s">
        <v>6</v>
      </c>
      <c r="C11" s="38">
        <f>'11. melléklet Közfoglalkoztatás'!D20</f>
        <v>4890720</v>
      </c>
      <c r="D11" s="38">
        <f>'11. melléklet Közfoglalkoztatás'!D21</f>
        <v>855876</v>
      </c>
      <c r="E11" s="38">
        <v>0</v>
      </c>
      <c r="F11" s="38"/>
      <c r="G11" s="38"/>
      <c r="H11" s="38"/>
      <c r="I11" s="38"/>
      <c r="J11" s="38"/>
      <c r="K11" s="38"/>
      <c r="L11" s="38"/>
      <c r="M11" s="888">
        <f t="shared" si="0"/>
        <v>5746596</v>
      </c>
    </row>
    <row r="12" spans="1:13" x14ac:dyDescent="0.25">
      <c r="A12" s="320" t="s">
        <v>609</v>
      </c>
      <c r="B12" s="321" t="s">
        <v>6</v>
      </c>
      <c r="C12" s="38"/>
      <c r="D12" s="38"/>
      <c r="E12" s="38"/>
      <c r="F12" s="38">
        <f>'12 melléklet Települési támogat'!D15</f>
        <v>14900000</v>
      </c>
      <c r="G12" s="38"/>
      <c r="H12" s="38"/>
      <c r="I12" s="38"/>
      <c r="J12" s="38"/>
      <c r="K12" s="38"/>
      <c r="L12" s="38"/>
      <c r="M12" s="888">
        <f t="shared" si="0"/>
        <v>14900000</v>
      </c>
    </row>
    <row r="13" spans="1:13" x14ac:dyDescent="0.25">
      <c r="A13" s="320" t="s">
        <v>441</v>
      </c>
      <c r="B13" s="321" t="s">
        <v>6</v>
      </c>
      <c r="C13" s="38"/>
      <c r="D13" s="38"/>
      <c r="E13" s="38"/>
      <c r="F13" s="38"/>
      <c r="G13" s="38">
        <f>'13 melléklet Átadott pénzeszköz'!D18</f>
        <v>3704811</v>
      </c>
      <c r="H13" s="38"/>
      <c r="I13" s="38"/>
      <c r="J13" s="38"/>
      <c r="K13" s="38"/>
      <c r="L13" s="38"/>
      <c r="M13" s="888">
        <f t="shared" si="0"/>
        <v>3704811</v>
      </c>
    </row>
    <row r="14" spans="1:13" x14ac:dyDescent="0.25">
      <c r="A14" s="320" t="s">
        <v>203</v>
      </c>
      <c r="B14" s="321" t="s">
        <v>6</v>
      </c>
      <c r="C14" s="38"/>
      <c r="D14" s="38"/>
      <c r="E14" s="38"/>
      <c r="F14" s="38"/>
      <c r="G14" s="38"/>
      <c r="H14" s="38">
        <f>'14mellBeruházások felújítások'!D26</f>
        <v>92718232</v>
      </c>
      <c r="I14" s="38"/>
      <c r="J14" s="38"/>
      <c r="K14" s="38"/>
      <c r="L14" s="38"/>
      <c r="M14" s="888">
        <f t="shared" si="0"/>
        <v>92718232</v>
      </c>
    </row>
    <row r="15" spans="1:13" x14ac:dyDescent="0.25">
      <c r="A15" s="320" t="s">
        <v>610</v>
      </c>
      <c r="B15" s="321" t="s">
        <v>6</v>
      </c>
      <c r="C15" s="38"/>
      <c r="D15" s="38"/>
      <c r="E15" s="38"/>
      <c r="F15" s="38"/>
      <c r="G15" s="38"/>
      <c r="H15" s="38"/>
      <c r="I15" s="38">
        <f>'14mellBeruházások felújítások'!D39</f>
        <v>73000000</v>
      </c>
      <c r="J15" s="38"/>
      <c r="K15" s="38"/>
      <c r="L15" s="38"/>
      <c r="M15" s="888">
        <f t="shared" si="0"/>
        <v>73000000</v>
      </c>
    </row>
    <row r="16" spans="1:13" ht="35.25" customHeight="1" thickBot="1" x14ac:dyDescent="0.3">
      <c r="A16" s="322" t="s">
        <v>611</v>
      </c>
      <c r="B16" s="323" t="s">
        <v>6</v>
      </c>
      <c r="C16" s="324"/>
      <c r="D16" s="324"/>
      <c r="E16" s="324"/>
      <c r="F16" s="324"/>
      <c r="G16" s="324"/>
      <c r="H16" s="324"/>
      <c r="I16" s="324"/>
      <c r="J16" s="324">
        <f>'15 mell Tartalék'!C21</f>
        <v>15179087</v>
      </c>
      <c r="K16" s="324">
        <v>8280974</v>
      </c>
      <c r="L16" s="324">
        <f>'16mellIntézményi összesített'!J18</f>
        <v>147571834.47</v>
      </c>
      <c r="M16" s="889">
        <f>SUM(C16:L16)</f>
        <v>171031895.47</v>
      </c>
    </row>
    <row r="17" spans="1:13" ht="15.75" thickBot="1" x14ac:dyDescent="0.3">
      <c r="A17" s="325" t="s">
        <v>230</v>
      </c>
      <c r="B17" s="892" t="s">
        <v>767</v>
      </c>
      <c r="C17" s="326">
        <f>SUM(C7:C16)</f>
        <v>35628952</v>
      </c>
      <c r="D17" s="326">
        <f t="shared" ref="D17:L17" si="1">SUM(D7:D16)</f>
        <v>5456110</v>
      </c>
      <c r="E17" s="326">
        <f t="shared" si="1"/>
        <v>59742812.170000002</v>
      </c>
      <c r="F17" s="326">
        <f t="shared" si="1"/>
        <v>14900000</v>
      </c>
      <c r="G17" s="326">
        <f t="shared" si="1"/>
        <v>3704811</v>
      </c>
      <c r="H17" s="326">
        <f t="shared" si="1"/>
        <v>92718232</v>
      </c>
      <c r="I17" s="326">
        <f t="shared" si="1"/>
        <v>73000000</v>
      </c>
      <c r="J17" s="326">
        <f t="shared" si="1"/>
        <v>15179087</v>
      </c>
      <c r="K17" s="326">
        <f t="shared" si="1"/>
        <v>8280974</v>
      </c>
      <c r="L17" s="326">
        <f t="shared" si="1"/>
        <v>147571834.47</v>
      </c>
      <c r="M17" s="326">
        <f>SUM(M7:M16)</f>
        <v>456182812.63999999</v>
      </c>
    </row>
  </sheetData>
  <mergeCells count="14">
    <mergeCell ref="M5:M6"/>
    <mergeCell ref="B1:H1"/>
    <mergeCell ref="B3:J3"/>
    <mergeCell ref="H5:H6"/>
    <mergeCell ref="I5:I6"/>
    <mergeCell ref="J5:J6"/>
    <mergeCell ref="K5:K6"/>
    <mergeCell ref="L5:L6"/>
    <mergeCell ref="A5:B6"/>
    <mergeCell ref="C5:C6"/>
    <mergeCell ref="D5:D6"/>
    <mergeCell ref="E5:E6"/>
    <mergeCell ref="F5:F6"/>
    <mergeCell ref="G5:G6"/>
  </mergeCells>
  <pageMargins left="0.25" right="0.25" top="0.75" bottom="0.75" header="0.3" footer="0.3"/>
  <pageSetup paperSize="9" scale="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79"/>
  <sheetViews>
    <sheetView topLeftCell="A61" workbookViewId="0">
      <selection activeCell="E74" sqref="E74"/>
    </sheetView>
  </sheetViews>
  <sheetFormatPr defaultRowHeight="15" x14ac:dyDescent="0.25"/>
  <cols>
    <col min="1" max="1" width="36" style="332" customWidth="1"/>
    <col min="2" max="2" width="11.28515625" style="332" customWidth="1"/>
    <col min="3" max="3" width="23" style="332" customWidth="1"/>
    <col min="4" max="4" width="25" style="333" customWidth="1"/>
  </cols>
  <sheetData>
    <row r="1" spans="1:7" ht="15.75" x14ac:dyDescent="0.25">
      <c r="A1" s="895" t="s">
        <v>748</v>
      </c>
      <c r="B1" s="895"/>
      <c r="C1" s="895"/>
      <c r="D1" s="895"/>
      <c r="E1" s="895"/>
      <c r="F1" s="895"/>
      <c r="G1" s="895"/>
    </row>
    <row r="2" spans="1:7" s="259" customFormat="1" ht="15.75" x14ac:dyDescent="0.25">
      <c r="A2" s="270"/>
      <c r="B2" s="270"/>
      <c r="C2" s="270"/>
      <c r="D2" s="270"/>
      <c r="E2" s="270"/>
      <c r="F2" s="270"/>
      <c r="G2" s="270"/>
    </row>
    <row r="3" spans="1:7" x14ac:dyDescent="0.25">
      <c r="A3" s="931" t="s">
        <v>696</v>
      </c>
      <c r="B3" s="931"/>
      <c r="C3" s="931"/>
      <c r="D3" s="931"/>
    </row>
    <row r="4" spans="1:7" ht="15.75" thickBot="1" x14ac:dyDescent="0.3">
      <c r="A4" s="327"/>
      <c r="B4" s="327"/>
      <c r="C4" s="327"/>
      <c r="D4" s="328"/>
    </row>
    <row r="5" spans="1:7" x14ac:dyDescent="0.25">
      <c r="A5" s="942" t="s">
        <v>68</v>
      </c>
      <c r="B5" s="944" t="s">
        <v>67</v>
      </c>
      <c r="C5" s="946" t="s">
        <v>426</v>
      </c>
      <c r="D5" s="947"/>
    </row>
    <row r="6" spans="1:7" x14ac:dyDescent="0.25">
      <c r="A6" s="943"/>
      <c r="B6" s="945"/>
      <c r="C6" s="329" t="s">
        <v>668</v>
      </c>
      <c r="D6" s="330" t="s">
        <v>675</v>
      </c>
    </row>
    <row r="7" spans="1:7" x14ac:dyDescent="0.25">
      <c r="A7" s="331" t="s">
        <v>71</v>
      </c>
      <c r="B7" s="127" t="s">
        <v>72</v>
      </c>
      <c r="C7" s="497"/>
      <c r="D7" s="557"/>
    </row>
    <row r="8" spans="1:7" ht="26.25" x14ac:dyDescent="0.25">
      <c r="A8" s="331" t="s">
        <v>612</v>
      </c>
      <c r="B8" s="127" t="s">
        <v>73</v>
      </c>
      <c r="C8" s="497"/>
      <c r="D8" s="557"/>
    </row>
    <row r="9" spans="1:7" x14ac:dyDescent="0.25">
      <c r="A9" s="331" t="s">
        <v>282</v>
      </c>
      <c r="B9" s="127" t="s">
        <v>283</v>
      </c>
      <c r="C9" s="497"/>
      <c r="D9" s="557"/>
    </row>
    <row r="10" spans="1:7" x14ac:dyDescent="0.25">
      <c r="A10" s="331" t="s">
        <v>74</v>
      </c>
      <c r="B10" s="127" t="s">
        <v>75</v>
      </c>
      <c r="C10" s="497"/>
      <c r="D10" s="557"/>
    </row>
    <row r="11" spans="1:7" x14ac:dyDescent="0.25">
      <c r="A11" s="331" t="s">
        <v>76</v>
      </c>
      <c r="B11" s="127" t="s">
        <v>77</v>
      </c>
      <c r="C11" s="497">
        <v>149000</v>
      </c>
      <c r="D11" s="558">
        <v>347000</v>
      </c>
    </row>
    <row r="12" spans="1:7" x14ac:dyDescent="0.25">
      <c r="A12" s="331" t="s">
        <v>78</v>
      </c>
      <c r="B12" s="127" t="s">
        <v>79</v>
      </c>
      <c r="C12" s="497"/>
      <c r="D12" s="558"/>
    </row>
    <row r="13" spans="1:7" x14ac:dyDescent="0.25">
      <c r="A13" s="331" t="s">
        <v>80</v>
      </c>
      <c r="B13" s="127" t="s">
        <v>81</v>
      </c>
      <c r="C13" s="497">
        <v>12000</v>
      </c>
      <c r="D13" s="558">
        <f t="shared" ref="D13" si="0">C13</f>
        <v>12000</v>
      </c>
    </row>
    <row r="14" spans="1:7" x14ac:dyDescent="0.25">
      <c r="A14" s="331" t="s">
        <v>82</v>
      </c>
      <c r="B14" s="127" t="s">
        <v>83</v>
      </c>
      <c r="C14" s="497"/>
      <c r="D14" s="558"/>
    </row>
    <row r="15" spans="1:7" x14ac:dyDescent="0.25">
      <c r="A15" s="813" t="s">
        <v>86</v>
      </c>
      <c r="B15" s="814" t="s">
        <v>87</v>
      </c>
      <c r="C15" s="555">
        <f>SUM(C7:C14)</f>
        <v>161000</v>
      </c>
      <c r="D15" s="815">
        <f>SUM(D7:D14)</f>
        <v>359000</v>
      </c>
    </row>
    <row r="16" spans="1:7" x14ac:dyDescent="0.25">
      <c r="A16" s="331" t="s">
        <v>88</v>
      </c>
      <c r="B16" s="127" t="s">
        <v>89</v>
      </c>
      <c r="C16" s="497">
        <v>7810408</v>
      </c>
      <c r="D16" s="558">
        <v>10772532</v>
      </c>
    </row>
    <row r="17" spans="1:4" ht="39" x14ac:dyDescent="0.25">
      <c r="A17" s="331" t="s">
        <v>90</v>
      </c>
      <c r="B17" s="127" t="s">
        <v>91</v>
      </c>
      <c r="C17" s="497">
        <v>135470</v>
      </c>
      <c r="D17" s="558"/>
    </row>
    <row r="18" spans="1:4" x14ac:dyDescent="0.25">
      <c r="A18" s="331" t="s">
        <v>383</v>
      </c>
      <c r="B18" s="127" t="s">
        <v>93</v>
      </c>
      <c r="C18" s="497">
        <v>120672</v>
      </c>
      <c r="D18" s="558">
        <v>150000</v>
      </c>
    </row>
    <row r="19" spans="1:4" x14ac:dyDescent="0.25">
      <c r="A19" s="813" t="s">
        <v>96</v>
      </c>
      <c r="B19" s="814" t="s">
        <v>97</v>
      </c>
      <c r="C19" s="555">
        <f>SUM(C16:C18)</f>
        <v>8066550</v>
      </c>
      <c r="D19" s="555">
        <f>SUM(D16:D18)</f>
        <v>10922532</v>
      </c>
    </row>
    <row r="20" spans="1:4" x14ac:dyDescent="0.25">
      <c r="A20" s="820" t="s">
        <v>98</v>
      </c>
      <c r="B20" s="821" t="s">
        <v>99</v>
      </c>
      <c r="C20" s="506">
        <f>C19+C15</f>
        <v>8227550</v>
      </c>
      <c r="D20" s="506">
        <f>D19+D15</f>
        <v>11281532</v>
      </c>
    </row>
    <row r="21" spans="1:4" ht="27" thickBot="1" x14ac:dyDescent="0.3">
      <c r="A21" s="822" t="s">
        <v>100</v>
      </c>
      <c r="B21" s="823" t="s">
        <v>101</v>
      </c>
      <c r="C21" s="824">
        <f>C20*0.2</f>
        <v>1645510</v>
      </c>
      <c r="D21" s="824">
        <v>1636832</v>
      </c>
    </row>
    <row r="22" spans="1:4" x14ac:dyDescent="0.25">
      <c r="A22" s="816" t="s">
        <v>106</v>
      </c>
      <c r="B22" s="550" t="s">
        <v>107</v>
      </c>
      <c r="C22" s="817">
        <f>SUM(C23:C27)</f>
        <v>22095</v>
      </c>
      <c r="D22" s="817">
        <f>SUM(D23:D27)</f>
        <v>0</v>
      </c>
    </row>
    <row r="23" spans="1:4" x14ac:dyDescent="0.25">
      <c r="A23" s="33" t="s">
        <v>273</v>
      </c>
      <c r="B23" s="20"/>
      <c r="C23" s="559">
        <v>0</v>
      </c>
      <c r="D23" s="560"/>
    </row>
    <row r="24" spans="1:4" x14ac:dyDescent="0.25">
      <c r="A24" s="30" t="s">
        <v>242</v>
      </c>
      <c r="B24" s="495"/>
      <c r="C24" s="561">
        <v>22095</v>
      </c>
      <c r="D24" s="560"/>
    </row>
    <row r="25" spans="1:4" x14ac:dyDescent="0.25">
      <c r="A25" s="30" t="s">
        <v>243</v>
      </c>
      <c r="B25" s="495"/>
      <c r="C25" s="561"/>
      <c r="D25" s="560">
        <f t="shared" ref="D25:D75" si="1">C25</f>
        <v>0</v>
      </c>
    </row>
    <row r="26" spans="1:4" x14ac:dyDescent="0.25">
      <c r="A26" s="30" t="s">
        <v>244</v>
      </c>
      <c r="B26" s="495"/>
      <c r="C26" s="561"/>
      <c r="D26" s="560">
        <f t="shared" si="1"/>
        <v>0</v>
      </c>
    </row>
    <row r="27" spans="1:4" x14ac:dyDescent="0.25">
      <c r="A27" s="30" t="s">
        <v>245</v>
      </c>
      <c r="B27" s="495"/>
      <c r="C27" s="561"/>
      <c r="D27" s="560"/>
    </row>
    <row r="28" spans="1:4" x14ac:dyDescent="0.25">
      <c r="A28" s="816" t="s">
        <v>109</v>
      </c>
      <c r="B28" s="550" t="s">
        <v>110</v>
      </c>
      <c r="C28" s="817">
        <f t="shared" ref="C28:D28" si="2">SUM(C29:C34)</f>
        <v>115944</v>
      </c>
      <c r="D28" s="817">
        <f t="shared" si="2"/>
        <v>0</v>
      </c>
    </row>
    <row r="29" spans="1:4" x14ac:dyDescent="0.25">
      <c r="A29" s="30" t="s">
        <v>246</v>
      </c>
      <c r="B29" s="495"/>
      <c r="C29" s="562"/>
      <c r="D29" s="560">
        <f t="shared" si="1"/>
        <v>0</v>
      </c>
    </row>
    <row r="30" spans="1:4" x14ac:dyDescent="0.25">
      <c r="A30" s="30" t="s">
        <v>274</v>
      </c>
      <c r="B30" s="495"/>
      <c r="C30" s="562"/>
      <c r="D30" s="560">
        <f t="shared" si="1"/>
        <v>0</v>
      </c>
    </row>
    <row r="31" spans="1:4" x14ac:dyDescent="0.25">
      <c r="A31" s="30" t="s">
        <v>247</v>
      </c>
      <c r="B31" s="495"/>
      <c r="C31" s="562"/>
      <c r="D31" s="560"/>
    </row>
    <row r="32" spans="1:4" x14ac:dyDescent="0.25">
      <c r="A32" s="30" t="s">
        <v>248</v>
      </c>
      <c r="B32" s="495"/>
      <c r="C32" s="562"/>
      <c r="D32" s="560"/>
    </row>
    <row r="33" spans="1:4" x14ac:dyDescent="0.25">
      <c r="A33" s="30" t="s">
        <v>249</v>
      </c>
      <c r="B33" s="495"/>
      <c r="C33" s="562"/>
      <c r="D33" s="560"/>
    </row>
    <row r="34" spans="1:4" x14ac:dyDescent="0.25">
      <c r="A34" s="30" t="s">
        <v>250</v>
      </c>
      <c r="B34" s="495"/>
      <c r="C34" s="562">
        <v>115944</v>
      </c>
      <c r="D34" s="560"/>
    </row>
    <row r="35" spans="1:4" x14ac:dyDescent="0.25">
      <c r="A35" s="816" t="s">
        <v>112</v>
      </c>
      <c r="B35" s="550" t="s">
        <v>113</v>
      </c>
      <c r="C35" s="818"/>
      <c r="D35" s="817">
        <f t="shared" si="1"/>
        <v>0</v>
      </c>
    </row>
    <row r="36" spans="1:4" x14ac:dyDescent="0.25">
      <c r="A36" s="828" t="s">
        <v>115</v>
      </c>
      <c r="B36" s="829" t="s">
        <v>116</v>
      </c>
      <c r="C36" s="830">
        <f>SUM(C28,C22,C35)</f>
        <v>138039</v>
      </c>
      <c r="D36" s="830">
        <f>SUM(D28,D22,D35)</f>
        <v>0</v>
      </c>
    </row>
    <row r="37" spans="1:4" x14ac:dyDescent="0.25">
      <c r="A37" s="816" t="s">
        <v>119</v>
      </c>
      <c r="B37" s="550" t="s">
        <v>120</v>
      </c>
      <c r="C37" s="818">
        <f t="shared" ref="C37" si="3">SUM(C38:C41)</f>
        <v>28460</v>
      </c>
      <c r="D37" s="817">
        <f t="shared" si="1"/>
        <v>28460</v>
      </c>
    </row>
    <row r="38" spans="1:4" ht="25.5" x14ac:dyDescent="0.25">
      <c r="A38" s="30" t="s">
        <v>251</v>
      </c>
      <c r="B38" s="495"/>
      <c r="C38" s="561">
        <v>28460</v>
      </c>
      <c r="D38" s="564">
        <f t="shared" si="1"/>
        <v>28460</v>
      </c>
    </row>
    <row r="39" spans="1:4" x14ac:dyDescent="0.25">
      <c r="A39" s="30" t="s">
        <v>252</v>
      </c>
      <c r="B39" s="495"/>
      <c r="C39" s="561"/>
      <c r="D39" s="564">
        <f t="shared" si="1"/>
        <v>0</v>
      </c>
    </row>
    <row r="40" spans="1:4" x14ac:dyDescent="0.25">
      <c r="A40" s="30" t="s">
        <v>253</v>
      </c>
      <c r="B40" s="495"/>
      <c r="C40" s="561"/>
      <c r="D40" s="564">
        <f t="shared" si="1"/>
        <v>0</v>
      </c>
    </row>
    <row r="41" spans="1:4" x14ac:dyDescent="0.25">
      <c r="A41" s="30" t="s">
        <v>740</v>
      </c>
      <c r="B41" s="495"/>
      <c r="C41" s="561"/>
      <c r="D41" s="564">
        <v>55000</v>
      </c>
    </row>
    <row r="42" spans="1:4" x14ac:dyDescent="0.25">
      <c r="A42" s="816" t="s">
        <v>122</v>
      </c>
      <c r="B42" s="550" t="s">
        <v>123</v>
      </c>
      <c r="C42" s="817">
        <f t="shared" ref="C42:D42" si="4">SUM(C43:C44)</f>
        <v>34901</v>
      </c>
      <c r="D42" s="817">
        <f t="shared" si="4"/>
        <v>0</v>
      </c>
    </row>
    <row r="43" spans="1:4" ht="25.5" x14ac:dyDescent="0.25">
      <c r="A43" s="30" t="s">
        <v>255</v>
      </c>
      <c r="B43" s="495"/>
      <c r="C43" s="562">
        <v>34901</v>
      </c>
      <c r="D43" s="560"/>
    </row>
    <row r="44" spans="1:4" ht="25.5" x14ac:dyDescent="0.25">
      <c r="A44" s="30" t="s">
        <v>256</v>
      </c>
      <c r="B44" s="495"/>
      <c r="C44" s="562"/>
      <c r="D44" s="560">
        <f t="shared" si="1"/>
        <v>0</v>
      </c>
    </row>
    <row r="45" spans="1:4" x14ac:dyDescent="0.25">
      <c r="A45" s="828" t="s">
        <v>126</v>
      </c>
      <c r="B45" s="829" t="s">
        <v>127</v>
      </c>
      <c r="C45" s="830">
        <f t="shared" ref="C45:D45" si="5">SUM(C37,C42)</f>
        <v>63361</v>
      </c>
      <c r="D45" s="830">
        <f t="shared" si="5"/>
        <v>28460</v>
      </c>
    </row>
    <row r="46" spans="1:4" x14ac:dyDescent="0.25">
      <c r="A46" s="816" t="s">
        <v>129</v>
      </c>
      <c r="B46" s="550" t="s">
        <v>130</v>
      </c>
      <c r="C46" s="817">
        <f t="shared" ref="C46:D46" si="6">SUM(C47:C49)</f>
        <v>0</v>
      </c>
      <c r="D46" s="817">
        <f t="shared" si="6"/>
        <v>0</v>
      </c>
    </row>
    <row r="47" spans="1:4" x14ac:dyDescent="0.25">
      <c r="A47" s="30" t="s">
        <v>257</v>
      </c>
      <c r="B47" s="495"/>
      <c r="C47" s="561"/>
      <c r="D47" s="564"/>
    </row>
    <row r="48" spans="1:4" x14ac:dyDescent="0.25">
      <c r="A48" s="30" t="s">
        <v>258</v>
      </c>
      <c r="B48" s="495"/>
      <c r="C48" s="561"/>
      <c r="D48" s="564">
        <f t="shared" si="1"/>
        <v>0</v>
      </c>
    </row>
    <row r="49" spans="1:4" x14ac:dyDescent="0.25">
      <c r="A49" s="30" t="s">
        <v>259</v>
      </c>
      <c r="B49" s="495"/>
      <c r="C49" s="561"/>
      <c r="D49" s="564"/>
    </row>
    <row r="50" spans="1:4" x14ac:dyDescent="0.25">
      <c r="A50" s="816" t="s">
        <v>131</v>
      </c>
      <c r="B50" s="550" t="s">
        <v>132</v>
      </c>
      <c r="C50" s="818"/>
      <c r="D50" s="817">
        <f t="shared" si="1"/>
        <v>0</v>
      </c>
    </row>
    <row r="51" spans="1:4" x14ac:dyDescent="0.25">
      <c r="A51" s="816" t="s">
        <v>135</v>
      </c>
      <c r="B51" s="550" t="s">
        <v>136</v>
      </c>
      <c r="C51" s="818"/>
      <c r="D51" s="817">
        <f t="shared" si="1"/>
        <v>0</v>
      </c>
    </row>
    <row r="52" spans="1:4" x14ac:dyDescent="0.25">
      <c r="A52" s="816" t="s">
        <v>139</v>
      </c>
      <c r="B52" s="550" t="s">
        <v>140</v>
      </c>
      <c r="C52" s="818">
        <v>641451</v>
      </c>
      <c r="D52" s="817">
        <v>650000</v>
      </c>
    </row>
    <row r="53" spans="1:4" ht="25.5" x14ac:dyDescent="0.25">
      <c r="A53" s="816" t="s">
        <v>142</v>
      </c>
      <c r="B53" s="550" t="s">
        <v>143</v>
      </c>
      <c r="C53" s="819">
        <f>SUM(C54:C56)</f>
        <v>374390</v>
      </c>
      <c r="D53" s="819">
        <f>SUM(D54:D56)</f>
        <v>216000</v>
      </c>
    </row>
    <row r="54" spans="1:4" x14ac:dyDescent="0.25">
      <c r="A54" s="30" t="s">
        <v>260</v>
      </c>
      <c r="B54" s="495"/>
      <c r="C54" s="561"/>
      <c r="D54" s="564">
        <f t="shared" si="1"/>
        <v>0</v>
      </c>
    </row>
    <row r="55" spans="1:4" x14ac:dyDescent="0.25">
      <c r="A55" s="30" t="s">
        <v>261</v>
      </c>
      <c r="B55" s="495"/>
      <c r="C55" s="561"/>
      <c r="D55" s="564">
        <f t="shared" si="1"/>
        <v>0</v>
      </c>
    </row>
    <row r="56" spans="1:4" x14ac:dyDescent="0.25">
      <c r="A56" s="30" t="s">
        <v>710</v>
      </c>
      <c r="B56" s="495"/>
      <c r="C56" s="561">
        <v>374390</v>
      </c>
      <c r="D56" s="564">
        <v>216000</v>
      </c>
    </row>
    <row r="57" spans="1:4" x14ac:dyDescent="0.25">
      <c r="A57" s="816" t="s">
        <v>144</v>
      </c>
      <c r="B57" s="550" t="s">
        <v>145</v>
      </c>
      <c r="C57" s="817">
        <f t="shared" ref="C57:D57" si="7">SUM(C58:C63)</f>
        <v>5964671</v>
      </c>
      <c r="D57" s="817">
        <f t="shared" si="7"/>
        <v>4288044</v>
      </c>
    </row>
    <row r="58" spans="1:4" x14ac:dyDescent="0.25">
      <c r="A58" s="30" t="s">
        <v>263</v>
      </c>
      <c r="B58" s="31"/>
      <c r="C58" s="561">
        <v>351163</v>
      </c>
      <c r="D58" s="564">
        <v>400000</v>
      </c>
    </row>
    <row r="59" spans="1:4" x14ac:dyDescent="0.25">
      <c r="A59" s="30" t="s">
        <v>264</v>
      </c>
      <c r="B59" s="31"/>
      <c r="C59" s="561"/>
      <c r="D59" s="564">
        <v>2000000</v>
      </c>
    </row>
    <row r="60" spans="1:4" x14ac:dyDescent="0.25">
      <c r="A60" s="30" t="s">
        <v>723</v>
      </c>
      <c r="B60" s="31"/>
      <c r="C60" s="561"/>
      <c r="D60" s="564">
        <v>500000</v>
      </c>
    </row>
    <row r="61" spans="1:4" x14ac:dyDescent="0.25">
      <c r="A61" s="30" t="s">
        <v>695</v>
      </c>
      <c r="B61" s="31"/>
      <c r="C61" s="561">
        <v>1168044</v>
      </c>
      <c r="D61" s="564">
        <f t="shared" si="1"/>
        <v>1168044</v>
      </c>
    </row>
    <row r="62" spans="1:4" x14ac:dyDescent="0.25">
      <c r="A62" s="30" t="s">
        <v>739</v>
      </c>
      <c r="B62" s="31"/>
      <c r="C62" s="561"/>
      <c r="D62" s="564">
        <v>120000</v>
      </c>
    </row>
    <row r="63" spans="1:4" x14ac:dyDescent="0.25">
      <c r="A63" s="30" t="s">
        <v>268</v>
      </c>
      <c r="B63" s="31"/>
      <c r="C63" s="561">
        <v>4445464</v>
      </c>
      <c r="D63" s="564">
        <v>100000</v>
      </c>
    </row>
    <row r="64" spans="1:4" x14ac:dyDescent="0.25">
      <c r="A64" s="828" t="s">
        <v>148</v>
      </c>
      <c r="B64" s="829" t="s">
        <v>149</v>
      </c>
      <c r="C64" s="830">
        <f t="shared" ref="C64" si="8">SUM(C46,C50:C53,C57)</f>
        <v>6980512</v>
      </c>
      <c r="D64" s="830">
        <f t="shared" si="1"/>
        <v>6980512</v>
      </c>
    </row>
    <row r="65" spans="1:4" x14ac:dyDescent="0.25">
      <c r="A65" s="27" t="s">
        <v>152</v>
      </c>
      <c r="B65" s="495" t="s">
        <v>153</v>
      </c>
      <c r="C65" s="561"/>
      <c r="D65" s="564">
        <f t="shared" si="1"/>
        <v>0</v>
      </c>
    </row>
    <row r="66" spans="1:4" x14ac:dyDescent="0.25">
      <c r="A66" s="27" t="s">
        <v>156</v>
      </c>
      <c r="B66" s="495" t="s">
        <v>157</v>
      </c>
      <c r="C66" s="561"/>
      <c r="D66" s="564">
        <f t="shared" si="1"/>
        <v>0</v>
      </c>
    </row>
    <row r="67" spans="1:4" ht="25.5" x14ac:dyDescent="0.25">
      <c r="A67" s="828" t="s">
        <v>158</v>
      </c>
      <c r="B67" s="829" t="s">
        <v>159</v>
      </c>
      <c r="C67" s="830">
        <f t="shared" ref="C67" si="9">SUM(C65:C66)</f>
        <v>0</v>
      </c>
      <c r="D67" s="830">
        <f t="shared" si="1"/>
        <v>0</v>
      </c>
    </row>
    <row r="68" spans="1:4" ht="25.5" x14ac:dyDescent="0.25">
      <c r="A68" s="816" t="s">
        <v>162</v>
      </c>
      <c r="B68" s="550" t="s">
        <v>163</v>
      </c>
      <c r="C68" s="817">
        <f>SUM(C69:C70)</f>
        <v>974016</v>
      </c>
      <c r="D68" s="817">
        <f>SUM(D69:D70)</f>
        <v>400000</v>
      </c>
    </row>
    <row r="69" spans="1:4" x14ac:dyDescent="0.25">
      <c r="A69" s="403" t="s">
        <v>269</v>
      </c>
      <c r="B69" s="556"/>
      <c r="C69" s="563"/>
      <c r="D69" s="564">
        <f t="shared" si="1"/>
        <v>0</v>
      </c>
    </row>
    <row r="70" spans="1:4" x14ac:dyDescent="0.25">
      <c r="A70" s="403" t="s">
        <v>270</v>
      </c>
      <c r="B70" s="556"/>
      <c r="C70" s="562">
        <v>974016</v>
      </c>
      <c r="D70" s="564">
        <v>400000</v>
      </c>
    </row>
    <row r="71" spans="1:4" x14ac:dyDescent="0.25">
      <c r="A71" s="816" t="s">
        <v>166</v>
      </c>
      <c r="B71" s="550" t="s">
        <v>167</v>
      </c>
      <c r="C71" s="818">
        <v>11076</v>
      </c>
      <c r="D71" s="817">
        <v>500000</v>
      </c>
    </row>
    <row r="72" spans="1:4" x14ac:dyDescent="0.25">
      <c r="A72" s="816" t="s">
        <v>170</v>
      </c>
      <c r="B72" s="550" t="s">
        <v>171</v>
      </c>
      <c r="C72" s="818"/>
      <c r="D72" s="817">
        <f t="shared" si="1"/>
        <v>0</v>
      </c>
    </row>
    <row r="73" spans="1:4" x14ac:dyDescent="0.25">
      <c r="A73" s="816" t="s">
        <v>174</v>
      </c>
      <c r="B73" s="550" t="s">
        <v>175</v>
      </c>
      <c r="C73" s="817">
        <f>SUM(C74:C76)</f>
        <v>572944</v>
      </c>
      <c r="D73" s="817">
        <f>SUM(D74:D76)</f>
        <v>5800000</v>
      </c>
    </row>
    <row r="74" spans="1:4" x14ac:dyDescent="0.25">
      <c r="A74" s="30" t="s">
        <v>271</v>
      </c>
      <c r="B74" s="495"/>
      <c r="C74" s="561"/>
      <c r="D74" s="564">
        <v>5000000</v>
      </c>
    </row>
    <row r="75" spans="1:4" x14ac:dyDescent="0.25">
      <c r="A75" s="30" t="s">
        <v>272</v>
      </c>
      <c r="B75" s="495"/>
      <c r="C75" s="561"/>
      <c r="D75" s="560">
        <f t="shared" si="1"/>
        <v>0</v>
      </c>
    </row>
    <row r="76" spans="1:4" x14ac:dyDescent="0.25">
      <c r="A76" s="30" t="s">
        <v>174</v>
      </c>
      <c r="B76" s="495"/>
      <c r="C76" s="561">
        <v>572944</v>
      </c>
      <c r="D76" s="564">
        <v>800000</v>
      </c>
    </row>
    <row r="77" spans="1:4" ht="25.5" x14ac:dyDescent="0.25">
      <c r="A77" s="828" t="s">
        <v>178</v>
      </c>
      <c r="B77" s="829" t="s">
        <v>179</v>
      </c>
      <c r="C77" s="830">
        <f t="shared" ref="C77:D77" si="10">SUM(C73,C68,C71,C72)</f>
        <v>1558036</v>
      </c>
      <c r="D77" s="830">
        <f t="shared" si="10"/>
        <v>6700000</v>
      </c>
    </row>
    <row r="78" spans="1:4" ht="18.75" x14ac:dyDescent="0.3">
      <c r="A78" s="825" t="s">
        <v>180</v>
      </c>
      <c r="B78" s="826" t="s">
        <v>181</v>
      </c>
      <c r="C78" s="827">
        <f>SUM(C77,C67,C64,C45,C36)</f>
        <v>8739948</v>
      </c>
      <c r="D78" s="827">
        <f>SUM(D77,D67,D64,D45,D36)</f>
        <v>13708972</v>
      </c>
    </row>
    <row r="79" spans="1:4" ht="18.75" x14ac:dyDescent="0.3">
      <c r="A79" s="941" t="s">
        <v>614</v>
      </c>
      <c r="B79" s="941"/>
      <c r="C79" s="565">
        <f>C78+C21+C20</f>
        <v>18613008</v>
      </c>
      <c r="D79" s="566">
        <f>D78+D21+D20</f>
        <v>26627336</v>
      </c>
    </row>
  </sheetData>
  <mergeCells count="6">
    <mergeCell ref="A79:B79"/>
    <mergeCell ref="A1:G1"/>
    <mergeCell ref="A3:D3"/>
    <mergeCell ref="A5:A6"/>
    <mergeCell ref="B5:B6"/>
    <mergeCell ref="C5:D5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P76"/>
  <sheetViews>
    <sheetView workbookViewId="0">
      <pane xSplit="2" ySplit="6" topLeftCell="C58" activePane="bottomRight" state="frozen"/>
      <selection pane="topRight" activeCell="C1" sqref="C1"/>
      <selection pane="bottomLeft" activeCell="A4" sqref="A4"/>
      <selection pane="bottomRight" activeCell="E63" sqref="E63"/>
    </sheetView>
  </sheetViews>
  <sheetFormatPr defaultRowHeight="15" x14ac:dyDescent="0.25"/>
  <cols>
    <col min="1" max="1" width="23.5703125" customWidth="1"/>
    <col min="2" max="2" width="7.28515625" customWidth="1"/>
    <col min="3" max="3" width="15.5703125" customWidth="1"/>
    <col min="4" max="4" width="15.7109375" customWidth="1"/>
    <col min="5" max="5" width="15.28515625" customWidth="1"/>
    <col min="6" max="6" width="14.5703125" style="259" customWidth="1"/>
    <col min="7" max="7" width="15" customWidth="1"/>
    <col min="8" max="8" width="14.7109375" style="259" customWidth="1"/>
    <col min="9" max="9" width="17.140625" customWidth="1"/>
    <col min="10" max="10" width="16.42578125" style="259" customWidth="1"/>
    <col min="11" max="11" width="15.42578125" customWidth="1"/>
    <col min="12" max="13" width="15.42578125" style="259" customWidth="1"/>
    <col min="14" max="14" width="15.5703125" customWidth="1"/>
    <col min="15" max="15" width="17" customWidth="1"/>
    <col min="16" max="16" width="17.5703125" customWidth="1"/>
  </cols>
  <sheetData>
    <row r="1" spans="1:16" ht="15.75" x14ac:dyDescent="0.25">
      <c r="A1" s="895" t="s">
        <v>741</v>
      </c>
      <c r="B1" s="895"/>
      <c r="C1" s="895"/>
      <c r="D1" s="895"/>
      <c r="E1" s="895"/>
      <c r="F1" s="895"/>
      <c r="G1" s="895"/>
    </row>
    <row r="2" spans="1:16" s="259" customFormat="1" ht="15.75" x14ac:dyDescent="0.25">
      <c r="A2" s="270"/>
      <c r="B2" s="270"/>
      <c r="C2" s="270"/>
      <c r="D2" s="270"/>
      <c r="E2" s="270"/>
      <c r="F2" s="270"/>
      <c r="G2" s="270"/>
    </row>
    <row r="3" spans="1:16" s="259" customFormat="1" ht="15.75" x14ac:dyDescent="0.25">
      <c r="A3" s="270"/>
      <c r="B3" s="949" t="s">
        <v>690</v>
      </c>
      <c r="C3" s="949"/>
      <c r="D3" s="949"/>
      <c r="E3" s="949"/>
      <c r="F3" s="949"/>
      <c r="G3" s="949"/>
      <c r="H3" s="949"/>
      <c r="I3" s="949"/>
      <c r="J3" s="949"/>
      <c r="K3" s="949"/>
      <c r="L3" s="456"/>
      <c r="M3" s="493"/>
    </row>
    <row r="4" spans="1:16" s="259" customFormat="1" ht="15.75" x14ac:dyDescent="0.25">
      <c r="A4" s="270"/>
      <c r="B4" s="270"/>
      <c r="C4" s="270"/>
      <c r="D4" s="270"/>
      <c r="E4" s="270"/>
      <c r="F4" s="270"/>
      <c r="G4" s="270"/>
    </row>
    <row r="5" spans="1:16" ht="60" customHeight="1" x14ac:dyDescent="0.25">
      <c r="A5" s="950" t="s">
        <v>615</v>
      </c>
      <c r="B5" s="950"/>
      <c r="C5" s="950" t="s">
        <v>431</v>
      </c>
      <c r="D5" s="950"/>
      <c r="E5" s="950" t="s">
        <v>432</v>
      </c>
      <c r="F5" s="950"/>
      <c r="G5" s="950" t="s">
        <v>433</v>
      </c>
      <c r="H5" s="950"/>
      <c r="I5" s="950" t="s">
        <v>434</v>
      </c>
      <c r="J5" s="950"/>
      <c r="K5" s="951" t="s">
        <v>435</v>
      </c>
      <c r="L5" s="952"/>
      <c r="M5" s="951" t="s">
        <v>642</v>
      </c>
      <c r="N5" s="952"/>
      <c r="O5" s="948" t="s">
        <v>230</v>
      </c>
      <c r="P5" s="948"/>
    </row>
    <row r="6" spans="1:16" s="259" customFormat="1" ht="33" customHeight="1" x14ac:dyDescent="0.25">
      <c r="A6" s="950"/>
      <c r="B6" s="950"/>
      <c r="C6" s="492" t="s">
        <v>668</v>
      </c>
      <c r="D6" s="492" t="s">
        <v>675</v>
      </c>
      <c r="E6" s="492" t="s">
        <v>668</v>
      </c>
      <c r="F6" s="492" t="s">
        <v>675</v>
      </c>
      <c r="G6" s="492" t="s">
        <v>668</v>
      </c>
      <c r="H6" s="492" t="s">
        <v>675</v>
      </c>
      <c r="I6" s="492" t="s">
        <v>668</v>
      </c>
      <c r="J6" s="492" t="s">
        <v>675</v>
      </c>
      <c r="K6" s="492" t="s">
        <v>668</v>
      </c>
      <c r="L6" s="492" t="s">
        <v>675</v>
      </c>
      <c r="M6" s="492" t="s">
        <v>668</v>
      </c>
      <c r="N6" s="492" t="s">
        <v>675</v>
      </c>
      <c r="O6" s="528" t="s">
        <v>668</v>
      </c>
      <c r="P6" s="528" t="s">
        <v>675</v>
      </c>
    </row>
    <row r="7" spans="1:16" ht="42.75" customHeight="1" x14ac:dyDescent="0.25">
      <c r="A7" s="37" t="s">
        <v>71</v>
      </c>
      <c r="B7" s="111" t="s">
        <v>72</v>
      </c>
      <c r="C7" s="497">
        <v>5701355</v>
      </c>
      <c r="D7" s="498">
        <v>9283800</v>
      </c>
      <c r="E7" s="526"/>
      <c r="F7" s="526"/>
      <c r="G7" s="526"/>
      <c r="H7" s="526"/>
      <c r="I7" s="526"/>
      <c r="J7" s="526"/>
      <c r="K7" s="526"/>
      <c r="L7" s="526"/>
      <c r="M7" s="526"/>
      <c r="N7" s="498"/>
      <c r="O7" s="529">
        <f t="shared" ref="O7:O43" si="0">SUM(C7,E7,G7,I7,K7)</f>
        <v>5701355</v>
      </c>
      <c r="P7" s="529">
        <f t="shared" ref="P7:P43" si="1">SUM(D7,F7,H7,J7,N7)</f>
        <v>9283800</v>
      </c>
    </row>
    <row r="8" spans="1:16" ht="30" customHeight="1" x14ac:dyDescent="0.25">
      <c r="A8" s="37" t="s">
        <v>539</v>
      </c>
      <c r="B8" s="111" t="s">
        <v>280</v>
      </c>
      <c r="C8" s="497">
        <v>148099</v>
      </c>
      <c r="D8" s="498">
        <v>300000</v>
      </c>
      <c r="E8" s="498"/>
      <c r="F8" s="498"/>
      <c r="G8" s="498"/>
      <c r="H8" s="498"/>
      <c r="I8" s="498"/>
      <c r="J8" s="498"/>
      <c r="K8" s="498"/>
      <c r="L8" s="498"/>
      <c r="M8" s="498"/>
      <c r="N8" s="498"/>
      <c r="O8" s="529">
        <f t="shared" si="0"/>
        <v>148099</v>
      </c>
      <c r="P8" s="529">
        <f t="shared" si="1"/>
        <v>300000</v>
      </c>
    </row>
    <row r="9" spans="1:16" x14ac:dyDescent="0.25">
      <c r="A9" s="37" t="s">
        <v>282</v>
      </c>
      <c r="B9" s="111" t="s">
        <v>283</v>
      </c>
      <c r="C9" s="497"/>
      <c r="D9" s="498"/>
      <c r="E9" s="498"/>
      <c r="F9" s="498"/>
      <c r="G9" s="498"/>
      <c r="H9" s="498"/>
      <c r="I9" s="498"/>
      <c r="J9" s="498"/>
      <c r="K9" s="498"/>
      <c r="L9" s="498"/>
      <c r="M9" s="498"/>
      <c r="N9" s="498"/>
      <c r="O9" s="529">
        <f t="shared" si="0"/>
        <v>0</v>
      </c>
      <c r="P9" s="529">
        <f t="shared" si="1"/>
        <v>0</v>
      </c>
    </row>
    <row r="10" spans="1:16" x14ac:dyDescent="0.25">
      <c r="A10" s="37" t="s">
        <v>74</v>
      </c>
      <c r="B10" s="111" t="s">
        <v>75</v>
      </c>
      <c r="C10" s="497"/>
      <c r="D10" s="498"/>
      <c r="E10" s="498"/>
      <c r="F10" s="498"/>
      <c r="G10" s="498"/>
      <c r="H10" s="498"/>
      <c r="I10" s="498"/>
      <c r="J10" s="498"/>
      <c r="K10" s="498"/>
      <c r="L10" s="498"/>
      <c r="M10" s="498"/>
      <c r="N10" s="498"/>
      <c r="O10" s="529">
        <f t="shared" si="0"/>
        <v>0</v>
      </c>
      <c r="P10" s="529">
        <f t="shared" si="1"/>
        <v>0</v>
      </c>
    </row>
    <row r="11" spans="1:16" x14ac:dyDescent="0.25">
      <c r="A11" s="37" t="s">
        <v>76</v>
      </c>
      <c r="B11" s="111" t="s">
        <v>77</v>
      </c>
      <c r="C11" s="497">
        <v>192000</v>
      </c>
      <c r="D11" s="498">
        <v>487500</v>
      </c>
      <c r="E11" s="498"/>
      <c r="F11" s="498"/>
      <c r="G11" s="498"/>
      <c r="H11" s="498"/>
      <c r="I11" s="498"/>
      <c r="J11" s="498"/>
      <c r="K11" s="498"/>
      <c r="L11" s="498"/>
      <c r="M11" s="498"/>
      <c r="N11" s="498"/>
      <c r="O11" s="529">
        <f t="shared" si="0"/>
        <v>192000</v>
      </c>
      <c r="P11" s="529">
        <f t="shared" si="1"/>
        <v>487500</v>
      </c>
    </row>
    <row r="12" spans="1:16" ht="30" x14ac:dyDescent="0.25">
      <c r="A12" s="37" t="s">
        <v>78</v>
      </c>
      <c r="B12" s="111" t="s">
        <v>79</v>
      </c>
      <c r="C12" s="497"/>
      <c r="D12" s="498"/>
      <c r="E12" s="498"/>
      <c r="F12" s="498"/>
      <c r="G12" s="498"/>
      <c r="H12" s="498"/>
      <c r="I12" s="498"/>
      <c r="J12" s="498"/>
      <c r="K12" s="498"/>
      <c r="L12" s="498"/>
      <c r="M12" s="498"/>
      <c r="N12" s="498"/>
      <c r="O12" s="529">
        <f t="shared" si="0"/>
        <v>0</v>
      </c>
      <c r="P12" s="529">
        <f t="shared" si="1"/>
        <v>0</v>
      </c>
    </row>
    <row r="13" spans="1:16" x14ac:dyDescent="0.25">
      <c r="A13" s="37" t="s">
        <v>80</v>
      </c>
      <c r="B13" s="111" t="s">
        <v>81</v>
      </c>
      <c r="C13" s="497"/>
      <c r="D13" s="498"/>
      <c r="E13" s="498"/>
      <c r="F13" s="498"/>
      <c r="G13" s="498"/>
      <c r="H13" s="498"/>
      <c r="I13" s="498"/>
      <c r="J13" s="498"/>
      <c r="K13" s="498"/>
      <c r="L13" s="498"/>
      <c r="M13" s="498"/>
      <c r="N13" s="498"/>
      <c r="O13" s="529">
        <f t="shared" si="0"/>
        <v>0</v>
      </c>
      <c r="P13" s="529">
        <f t="shared" si="1"/>
        <v>0</v>
      </c>
    </row>
    <row r="14" spans="1:16" ht="30" x14ac:dyDescent="0.25">
      <c r="A14" s="37" t="s">
        <v>82</v>
      </c>
      <c r="B14" s="111" t="s">
        <v>83</v>
      </c>
      <c r="C14" s="497">
        <v>29300</v>
      </c>
      <c r="D14" s="498">
        <v>36000</v>
      </c>
      <c r="E14" s="498"/>
      <c r="F14" s="498"/>
      <c r="G14" s="498"/>
      <c r="H14" s="498"/>
      <c r="I14" s="498"/>
      <c r="J14" s="498"/>
      <c r="K14" s="498"/>
      <c r="L14" s="498"/>
      <c r="M14" s="498"/>
      <c r="N14" s="498"/>
      <c r="O14" s="529">
        <f t="shared" si="0"/>
        <v>29300</v>
      </c>
      <c r="P14" s="529">
        <f t="shared" si="1"/>
        <v>36000</v>
      </c>
    </row>
    <row r="15" spans="1:16" ht="30" x14ac:dyDescent="0.25">
      <c r="A15" s="553" t="s">
        <v>86</v>
      </c>
      <c r="B15" s="554" t="s">
        <v>87</v>
      </c>
      <c r="C15" s="555">
        <f>SUM(C7:C14)</f>
        <v>6070754</v>
      </c>
      <c r="D15" s="555">
        <f t="shared" ref="D15:N15" si="2">SUM(D7:D14)</f>
        <v>10107300</v>
      </c>
      <c r="E15" s="555">
        <f t="shared" si="2"/>
        <v>0</v>
      </c>
      <c r="F15" s="555">
        <f t="shared" si="2"/>
        <v>0</v>
      </c>
      <c r="G15" s="555">
        <f t="shared" si="2"/>
        <v>0</v>
      </c>
      <c r="H15" s="555">
        <f t="shared" si="2"/>
        <v>0</v>
      </c>
      <c r="I15" s="555">
        <f t="shared" si="2"/>
        <v>0</v>
      </c>
      <c r="J15" s="555">
        <f t="shared" si="2"/>
        <v>0</v>
      </c>
      <c r="K15" s="555">
        <f t="shared" si="2"/>
        <v>0</v>
      </c>
      <c r="L15" s="555">
        <f t="shared" si="2"/>
        <v>0</v>
      </c>
      <c r="M15" s="555">
        <f t="shared" si="2"/>
        <v>0</v>
      </c>
      <c r="N15" s="555">
        <f t="shared" si="2"/>
        <v>0</v>
      </c>
      <c r="O15" s="529">
        <f t="shared" si="0"/>
        <v>6070754</v>
      </c>
      <c r="P15" s="529">
        <f t="shared" si="1"/>
        <v>10107300</v>
      </c>
    </row>
    <row r="16" spans="1:16" ht="21" customHeight="1" x14ac:dyDescent="0.25">
      <c r="A16" s="553" t="s">
        <v>96</v>
      </c>
      <c r="B16" s="554" t="s">
        <v>97</v>
      </c>
      <c r="C16" s="555">
        <v>0</v>
      </c>
      <c r="D16" s="555">
        <v>0</v>
      </c>
      <c r="E16" s="555">
        <v>0</v>
      </c>
      <c r="F16" s="555">
        <v>0</v>
      </c>
      <c r="G16" s="555">
        <v>0</v>
      </c>
      <c r="H16" s="555">
        <v>0</v>
      </c>
      <c r="I16" s="555">
        <v>0</v>
      </c>
      <c r="J16" s="555">
        <v>0</v>
      </c>
      <c r="K16" s="555">
        <v>0</v>
      </c>
      <c r="L16" s="555">
        <v>0</v>
      </c>
      <c r="M16" s="555">
        <v>0</v>
      </c>
      <c r="N16" s="555">
        <v>0</v>
      </c>
      <c r="O16" s="529">
        <f t="shared" si="0"/>
        <v>0</v>
      </c>
      <c r="P16" s="529">
        <f t="shared" si="1"/>
        <v>0</v>
      </c>
    </row>
    <row r="17" spans="1:16" ht="18.75" customHeight="1" x14ac:dyDescent="0.25">
      <c r="A17" s="543" t="s">
        <v>98</v>
      </c>
      <c r="B17" s="544" t="s">
        <v>99</v>
      </c>
      <c r="C17" s="545">
        <f>C16+C15</f>
        <v>6070754</v>
      </c>
      <c r="D17" s="545">
        <f t="shared" ref="D17:N17" si="3">D16+D15</f>
        <v>10107300</v>
      </c>
      <c r="E17" s="545">
        <f t="shared" si="3"/>
        <v>0</v>
      </c>
      <c r="F17" s="545">
        <f t="shared" si="3"/>
        <v>0</v>
      </c>
      <c r="G17" s="545">
        <f t="shared" si="3"/>
        <v>0</v>
      </c>
      <c r="H17" s="545">
        <f t="shared" si="3"/>
        <v>0</v>
      </c>
      <c r="I17" s="545">
        <f t="shared" si="3"/>
        <v>0</v>
      </c>
      <c r="J17" s="545">
        <f t="shared" si="3"/>
        <v>0</v>
      </c>
      <c r="K17" s="545">
        <f t="shared" si="3"/>
        <v>0</v>
      </c>
      <c r="L17" s="545">
        <f t="shared" si="3"/>
        <v>0</v>
      </c>
      <c r="M17" s="545">
        <f t="shared" si="3"/>
        <v>0</v>
      </c>
      <c r="N17" s="545">
        <f t="shared" si="3"/>
        <v>0</v>
      </c>
      <c r="O17" s="529">
        <f t="shared" si="0"/>
        <v>6070754</v>
      </c>
      <c r="P17" s="529">
        <f t="shared" si="1"/>
        <v>10107300</v>
      </c>
    </row>
    <row r="18" spans="1:16" ht="30.75" customHeight="1" x14ac:dyDescent="0.25">
      <c r="A18" s="546" t="s">
        <v>644</v>
      </c>
      <c r="B18" s="547" t="s">
        <v>101</v>
      </c>
      <c r="C18" s="548">
        <v>990149</v>
      </c>
      <c r="D18" s="549">
        <v>1566635</v>
      </c>
      <c r="E18" s="549">
        <f>E17*0.175</f>
        <v>0</v>
      </c>
      <c r="F18" s="549">
        <f t="shared" ref="F18:N18" si="4">F17*0.195</f>
        <v>0</v>
      </c>
      <c r="G18" s="549">
        <f t="shared" si="4"/>
        <v>0</v>
      </c>
      <c r="H18" s="549">
        <f t="shared" si="4"/>
        <v>0</v>
      </c>
      <c r="I18" s="549">
        <f t="shared" si="4"/>
        <v>0</v>
      </c>
      <c r="J18" s="549">
        <f t="shared" si="4"/>
        <v>0</v>
      </c>
      <c r="K18" s="549">
        <f t="shared" si="4"/>
        <v>0</v>
      </c>
      <c r="L18" s="549"/>
      <c r="M18" s="549"/>
      <c r="N18" s="549">
        <f t="shared" si="4"/>
        <v>0</v>
      </c>
      <c r="O18" s="529">
        <f t="shared" si="0"/>
        <v>990149</v>
      </c>
      <c r="P18" s="529">
        <f t="shared" si="1"/>
        <v>1566635</v>
      </c>
    </row>
    <row r="19" spans="1:16" ht="29.25" customHeight="1" x14ac:dyDescent="0.25">
      <c r="A19" s="533" t="s">
        <v>106</v>
      </c>
      <c r="B19" s="550" t="s">
        <v>107</v>
      </c>
      <c r="C19" s="535">
        <f t="shared" ref="C19:N19" si="5">SUM(C20:C24)</f>
        <v>0</v>
      </c>
      <c r="D19" s="535">
        <f t="shared" si="5"/>
        <v>0</v>
      </c>
      <c r="E19" s="535">
        <f t="shared" si="5"/>
        <v>0</v>
      </c>
      <c r="F19" s="535">
        <f t="shared" si="5"/>
        <v>0</v>
      </c>
      <c r="G19" s="535">
        <f t="shared" si="5"/>
        <v>0</v>
      </c>
      <c r="H19" s="535">
        <f t="shared" si="5"/>
        <v>0</v>
      </c>
      <c r="I19" s="535">
        <f t="shared" si="5"/>
        <v>0</v>
      </c>
      <c r="J19" s="535">
        <f t="shared" si="5"/>
        <v>0</v>
      </c>
      <c r="K19" s="535">
        <f t="shared" si="5"/>
        <v>0</v>
      </c>
      <c r="L19" s="535"/>
      <c r="M19" s="535"/>
      <c r="N19" s="535">
        <f t="shared" si="5"/>
        <v>0</v>
      </c>
      <c r="O19" s="529">
        <f t="shared" si="0"/>
        <v>0</v>
      </c>
      <c r="P19" s="529">
        <f t="shared" si="1"/>
        <v>0</v>
      </c>
    </row>
    <row r="20" spans="1:16" ht="19.5" customHeight="1" x14ac:dyDescent="0.25">
      <c r="A20" s="335" t="s">
        <v>273</v>
      </c>
      <c r="B20" s="20"/>
      <c r="C20" s="527"/>
      <c r="D20" s="498"/>
      <c r="E20" s="527"/>
      <c r="F20" s="527"/>
      <c r="G20" s="527"/>
      <c r="H20" s="527"/>
      <c r="I20" s="527"/>
      <c r="J20" s="527"/>
      <c r="K20" s="527"/>
      <c r="L20" s="527"/>
      <c r="M20" s="527"/>
      <c r="N20" s="498"/>
      <c r="O20" s="529">
        <f t="shared" si="0"/>
        <v>0</v>
      </c>
      <c r="P20" s="529">
        <f t="shared" si="1"/>
        <v>0</v>
      </c>
    </row>
    <row r="21" spans="1:16" ht="21.75" customHeight="1" x14ac:dyDescent="0.25">
      <c r="A21" s="123" t="s">
        <v>242</v>
      </c>
      <c r="B21" s="19"/>
      <c r="C21" s="500"/>
      <c r="D21" s="498"/>
      <c r="E21" s="500"/>
      <c r="F21" s="500"/>
      <c r="G21" s="500"/>
      <c r="H21" s="500"/>
      <c r="I21" s="500"/>
      <c r="J21" s="500"/>
      <c r="K21" s="500"/>
      <c r="L21" s="500"/>
      <c r="M21" s="500"/>
      <c r="N21" s="498"/>
      <c r="O21" s="529">
        <f t="shared" si="0"/>
        <v>0</v>
      </c>
      <c r="P21" s="529">
        <f t="shared" si="1"/>
        <v>0</v>
      </c>
    </row>
    <row r="22" spans="1:16" ht="21" customHeight="1" x14ac:dyDescent="0.25">
      <c r="A22" s="123" t="s">
        <v>243</v>
      </c>
      <c r="B22" s="19"/>
      <c r="C22" s="500"/>
      <c r="D22" s="498"/>
      <c r="E22" s="500"/>
      <c r="F22" s="500"/>
      <c r="G22" s="500"/>
      <c r="H22" s="500"/>
      <c r="I22" s="500"/>
      <c r="J22" s="500"/>
      <c r="K22" s="500"/>
      <c r="L22" s="500"/>
      <c r="M22" s="500"/>
      <c r="N22" s="498"/>
      <c r="O22" s="529">
        <f t="shared" si="0"/>
        <v>0</v>
      </c>
      <c r="P22" s="529">
        <f t="shared" si="1"/>
        <v>0</v>
      </c>
    </row>
    <row r="23" spans="1:16" ht="21.75" customHeight="1" x14ac:dyDescent="0.25">
      <c r="A23" s="123" t="s">
        <v>244</v>
      </c>
      <c r="B23" s="19"/>
      <c r="C23" s="500"/>
      <c r="D23" s="498"/>
      <c r="E23" s="500"/>
      <c r="F23" s="500"/>
      <c r="G23" s="500"/>
      <c r="H23" s="500"/>
      <c r="I23" s="500"/>
      <c r="J23" s="500"/>
      <c r="K23" s="500"/>
      <c r="L23" s="500"/>
      <c r="M23" s="500"/>
      <c r="N23" s="498"/>
      <c r="O23" s="529">
        <f t="shared" si="0"/>
        <v>0</v>
      </c>
      <c r="P23" s="529">
        <f t="shared" si="1"/>
        <v>0</v>
      </c>
    </row>
    <row r="24" spans="1:16" ht="21.75" customHeight="1" x14ac:dyDescent="0.25">
      <c r="A24" s="123" t="s">
        <v>245</v>
      </c>
      <c r="B24" s="19"/>
      <c r="C24" s="500"/>
      <c r="D24" s="498"/>
      <c r="E24" s="500"/>
      <c r="F24" s="500"/>
      <c r="G24" s="500"/>
      <c r="H24" s="500"/>
      <c r="I24" s="500"/>
      <c r="J24" s="500"/>
      <c r="K24" s="500"/>
      <c r="L24" s="500"/>
      <c r="M24" s="500"/>
      <c r="N24" s="498"/>
      <c r="O24" s="529">
        <f t="shared" si="0"/>
        <v>0</v>
      </c>
      <c r="P24" s="529">
        <f t="shared" si="1"/>
        <v>0</v>
      </c>
    </row>
    <row r="25" spans="1:16" ht="25.5" x14ac:dyDescent="0.25">
      <c r="A25" s="533" t="s">
        <v>109</v>
      </c>
      <c r="B25" s="534" t="s">
        <v>110</v>
      </c>
      <c r="C25" s="535">
        <f>SUM(C26:C31)</f>
        <v>632131</v>
      </c>
      <c r="D25" s="535">
        <f>SUM(D26:D31)</f>
        <v>3280000</v>
      </c>
      <c r="E25" s="535">
        <f t="shared" ref="E25:N25" si="6">SUM(E26:E31)</f>
        <v>112361</v>
      </c>
      <c r="F25" s="535">
        <f t="shared" si="6"/>
        <v>0</v>
      </c>
      <c r="G25" s="535">
        <f t="shared" si="6"/>
        <v>0</v>
      </c>
      <c r="H25" s="535">
        <f t="shared" si="6"/>
        <v>0</v>
      </c>
      <c r="I25" s="535">
        <f t="shared" si="6"/>
        <v>4409</v>
      </c>
      <c r="J25" s="535">
        <f t="shared" si="6"/>
        <v>10000</v>
      </c>
      <c r="K25" s="535">
        <f t="shared" si="6"/>
        <v>289507</v>
      </c>
      <c r="L25" s="535">
        <f t="shared" si="6"/>
        <v>1300000</v>
      </c>
      <c r="M25" s="535">
        <f t="shared" si="6"/>
        <v>0</v>
      </c>
      <c r="N25" s="535">
        <f t="shared" si="6"/>
        <v>0</v>
      </c>
      <c r="O25" s="529">
        <f t="shared" si="0"/>
        <v>1038408</v>
      </c>
      <c r="P25" s="529">
        <f>SUM(D25,F25,H25,J25,L25,N25)</f>
        <v>4590000</v>
      </c>
    </row>
    <row r="26" spans="1:16" ht="17.25" customHeight="1" x14ac:dyDescent="0.25">
      <c r="A26" s="123" t="s">
        <v>715</v>
      </c>
      <c r="B26" s="524"/>
      <c r="C26" s="500"/>
      <c r="D26" s="498">
        <v>800000</v>
      </c>
      <c r="E26" s="500"/>
      <c r="F26" s="500"/>
      <c r="G26" s="500"/>
      <c r="H26" s="500"/>
      <c r="I26" s="500"/>
      <c r="J26" s="500"/>
      <c r="K26" s="500"/>
      <c r="L26" s="500"/>
      <c r="M26" s="500"/>
      <c r="N26" s="498"/>
      <c r="O26" s="529">
        <f t="shared" si="0"/>
        <v>0</v>
      </c>
      <c r="P26" s="529">
        <f t="shared" si="1"/>
        <v>800000</v>
      </c>
    </row>
    <row r="27" spans="1:16" ht="18.75" customHeight="1" x14ac:dyDescent="0.25">
      <c r="A27" s="123" t="s">
        <v>713</v>
      </c>
      <c r="B27" s="524"/>
      <c r="C27" s="500"/>
      <c r="D27" s="498"/>
      <c r="E27" s="500"/>
      <c r="F27" s="500"/>
      <c r="G27" s="500"/>
      <c r="H27" s="500"/>
      <c r="I27" s="500"/>
      <c r="J27" s="500"/>
      <c r="K27" s="500"/>
      <c r="L27" s="500">
        <v>500000</v>
      </c>
      <c r="M27" s="500"/>
      <c r="N27" s="498"/>
      <c r="O27" s="529">
        <f t="shared" si="0"/>
        <v>0</v>
      </c>
      <c r="P27" s="529">
        <f>SUM(D27,F27,H27,J27,L27,N27)</f>
        <v>500000</v>
      </c>
    </row>
    <row r="28" spans="1:16" ht="17.25" customHeight="1" x14ac:dyDescent="0.25">
      <c r="A28" s="123" t="s">
        <v>716</v>
      </c>
      <c r="B28" s="524"/>
      <c r="C28" s="500"/>
      <c r="D28" s="498">
        <v>800000</v>
      </c>
      <c r="E28" s="500"/>
      <c r="F28" s="500"/>
      <c r="G28" s="500"/>
      <c r="H28" s="500"/>
      <c r="I28" s="500"/>
      <c r="J28" s="500"/>
      <c r="K28" s="500"/>
      <c r="L28" s="500"/>
      <c r="M28" s="500"/>
      <c r="N28" s="498"/>
      <c r="O28" s="529">
        <f t="shared" si="0"/>
        <v>0</v>
      </c>
      <c r="P28" s="529">
        <f t="shared" si="1"/>
        <v>800000</v>
      </c>
    </row>
    <row r="29" spans="1:16" ht="18" customHeight="1" x14ac:dyDescent="0.25">
      <c r="A29" s="123" t="s">
        <v>714</v>
      </c>
      <c r="B29" s="524"/>
      <c r="C29" s="500"/>
      <c r="D29" s="498"/>
      <c r="E29" s="500"/>
      <c r="F29" s="500"/>
      <c r="G29" s="500"/>
      <c r="H29" s="500"/>
      <c r="I29" s="500"/>
      <c r="J29" s="500"/>
      <c r="K29" s="500"/>
      <c r="L29" s="500">
        <v>500000</v>
      </c>
      <c r="M29" s="500"/>
      <c r="N29" s="498"/>
      <c r="O29" s="529">
        <f t="shared" si="0"/>
        <v>0</v>
      </c>
      <c r="P29" s="529">
        <f>SUM(D29,F29,H29,J29,L29,N29)</f>
        <v>500000</v>
      </c>
    </row>
    <row r="30" spans="1:16" ht="19.5" customHeight="1" x14ac:dyDescent="0.25">
      <c r="A30" s="123" t="s">
        <v>717</v>
      </c>
      <c r="B30" s="524"/>
      <c r="C30" s="500"/>
      <c r="D30" s="498">
        <v>800000</v>
      </c>
      <c r="E30" s="500"/>
      <c r="F30" s="500"/>
      <c r="G30" s="500"/>
      <c r="H30" s="500"/>
      <c r="I30" s="500"/>
      <c r="J30" s="500"/>
      <c r="K30" s="500"/>
      <c r="L30" s="500"/>
      <c r="M30" s="500"/>
      <c r="N30" s="498"/>
      <c r="O30" s="529">
        <f t="shared" si="0"/>
        <v>0</v>
      </c>
      <c r="P30" s="529">
        <f>SUM(D30,F30,H30,J30,L30,N30)</f>
        <v>800000</v>
      </c>
    </row>
    <row r="31" spans="1:16" ht="17.25" customHeight="1" x14ac:dyDescent="0.25">
      <c r="A31" s="123" t="s">
        <v>250</v>
      </c>
      <c r="B31" s="524"/>
      <c r="C31" s="500">
        <v>632131</v>
      </c>
      <c r="D31" s="498">
        <v>880000</v>
      </c>
      <c r="E31" s="500">
        <v>112361</v>
      </c>
      <c r="F31" s="500"/>
      <c r="G31" s="500"/>
      <c r="H31" s="500"/>
      <c r="I31" s="500">
        <v>4409</v>
      </c>
      <c r="J31" s="500">
        <v>10000</v>
      </c>
      <c r="K31" s="500">
        <v>289507</v>
      </c>
      <c r="L31" s="500">
        <v>300000</v>
      </c>
      <c r="M31" s="500"/>
      <c r="N31" s="498"/>
      <c r="O31" s="529">
        <f t="shared" si="0"/>
        <v>1038408</v>
      </c>
      <c r="P31" s="529">
        <f>SUM(D31,F31,H31,J31,L31,N31)</f>
        <v>1190000</v>
      </c>
    </row>
    <row r="32" spans="1:16" ht="21" customHeight="1" x14ac:dyDescent="0.25">
      <c r="A32" s="533" t="s">
        <v>112</v>
      </c>
      <c r="B32" s="534" t="s">
        <v>113</v>
      </c>
      <c r="C32" s="551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29">
        <f t="shared" si="0"/>
        <v>0</v>
      </c>
      <c r="P32" s="529">
        <f t="shared" si="1"/>
        <v>0</v>
      </c>
    </row>
    <row r="33" spans="1:16" x14ac:dyDescent="0.25">
      <c r="A33" s="334" t="s">
        <v>115</v>
      </c>
      <c r="B33" s="525" t="s">
        <v>116</v>
      </c>
      <c r="C33" s="502">
        <f t="shared" ref="C33:N33" si="7">SUM(C25,C19,C32)</f>
        <v>632131</v>
      </c>
      <c r="D33" s="502">
        <f t="shared" si="7"/>
        <v>3280000</v>
      </c>
      <c r="E33" s="502">
        <f t="shared" si="7"/>
        <v>112361</v>
      </c>
      <c r="F33" s="502">
        <f t="shared" si="7"/>
        <v>0</v>
      </c>
      <c r="G33" s="502">
        <f t="shared" si="7"/>
        <v>0</v>
      </c>
      <c r="H33" s="502">
        <f t="shared" si="7"/>
        <v>0</v>
      </c>
      <c r="I33" s="502">
        <f t="shared" si="7"/>
        <v>4409</v>
      </c>
      <c r="J33" s="502">
        <f t="shared" si="7"/>
        <v>10000</v>
      </c>
      <c r="K33" s="502">
        <f t="shared" si="7"/>
        <v>289507</v>
      </c>
      <c r="L33" s="502">
        <f t="shared" si="7"/>
        <v>1300000</v>
      </c>
      <c r="M33" s="502">
        <f t="shared" si="7"/>
        <v>0</v>
      </c>
      <c r="N33" s="502">
        <f t="shared" si="7"/>
        <v>0</v>
      </c>
      <c r="O33" s="529">
        <f t="shared" si="0"/>
        <v>1038408</v>
      </c>
      <c r="P33" s="529">
        <f>SUM(D33,F33,H33,J33,L33,N33)</f>
        <v>4590000</v>
      </c>
    </row>
    <row r="34" spans="1:16" ht="22.5" customHeight="1" x14ac:dyDescent="0.25">
      <c r="A34" s="533" t="s">
        <v>643</v>
      </c>
      <c r="B34" s="534" t="s">
        <v>120</v>
      </c>
      <c r="C34" s="551">
        <f t="shared" ref="C34:N34" si="8">SUM(C35:C38)</f>
        <v>1143</v>
      </c>
      <c r="D34" s="551">
        <f t="shared" si="8"/>
        <v>0</v>
      </c>
      <c r="E34" s="551">
        <f t="shared" si="8"/>
        <v>0</v>
      </c>
      <c r="F34" s="551">
        <f t="shared" si="8"/>
        <v>0</v>
      </c>
      <c r="G34" s="551">
        <f t="shared" si="8"/>
        <v>0</v>
      </c>
      <c r="H34" s="551">
        <f t="shared" si="8"/>
        <v>0</v>
      </c>
      <c r="I34" s="551">
        <f t="shared" si="8"/>
        <v>0</v>
      </c>
      <c r="J34" s="551">
        <f t="shared" si="8"/>
        <v>0</v>
      </c>
      <c r="K34" s="551">
        <f t="shared" si="8"/>
        <v>0</v>
      </c>
      <c r="L34" s="551">
        <f t="shared" si="8"/>
        <v>0</v>
      </c>
      <c r="M34" s="551">
        <f t="shared" si="8"/>
        <v>0</v>
      </c>
      <c r="N34" s="551">
        <f t="shared" si="8"/>
        <v>0</v>
      </c>
      <c r="O34" s="529">
        <f t="shared" si="0"/>
        <v>1143</v>
      </c>
      <c r="P34" s="529">
        <f t="shared" si="1"/>
        <v>0</v>
      </c>
    </row>
    <row r="35" spans="1:16" ht="24.75" customHeight="1" x14ac:dyDescent="0.25">
      <c r="A35" s="123" t="s">
        <v>251</v>
      </c>
      <c r="B35" s="524"/>
      <c r="C35" s="500">
        <v>1143</v>
      </c>
      <c r="D35" s="498"/>
      <c r="E35" s="500"/>
      <c r="F35" s="500"/>
      <c r="G35" s="500"/>
      <c r="H35" s="500"/>
      <c r="I35" s="500"/>
      <c r="J35" s="500"/>
      <c r="K35" s="500"/>
      <c r="L35" s="500"/>
      <c r="M35" s="500"/>
      <c r="N35" s="498"/>
      <c r="O35" s="529">
        <f t="shared" si="0"/>
        <v>1143</v>
      </c>
      <c r="P35" s="529">
        <f t="shared" si="1"/>
        <v>0</v>
      </c>
    </row>
    <row r="36" spans="1:16" ht="26.25" customHeight="1" x14ac:dyDescent="0.25">
      <c r="A36" s="123" t="s">
        <v>252</v>
      </c>
      <c r="B36" s="524"/>
      <c r="C36" s="500"/>
      <c r="D36" s="498"/>
      <c r="E36" s="500"/>
      <c r="F36" s="500"/>
      <c r="G36" s="500"/>
      <c r="H36" s="500"/>
      <c r="I36" s="500"/>
      <c r="J36" s="500"/>
      <c r="K36" s="500"/>
      <c r="L36" s="500"/>
      <c r="M36" s="500"/>
      <c r="N36" s="498"/>
      <c r="O36" s="529">
        <f t="shared" si="0"/>
        <v>0</v>
      </c>
      <c r="P36" s="529">
        <f t="shared" si="1"/>
        <v>0</v>
      </c>
    </row>
    <row r="37" spans="1:16" ht="14.25" customHeight="1" x14ac:dyDescent="0.25">
      <c r="A37" s="123" t="s">
        <v>253</v>
      </c>
      <c r="B37" s="524"/>
      <c r="C37" s="500"/>
      <c r="D37" s="498"/>
      <c r="E37" s="500"/>
      <c r="F37" s="500"/>
      <c r="G37" s="500"/>
      <c r="H37" s="500"/>
      <c r="I37" s="500"/>
      <c r="J37" s="500"/>
      <c r="K37" s="500"/>
      <c r="L37" s="500"/>
      <c r="M37" s="500"/>
      <c r="N37" s="498"/>
      <c r="O37" s="529">
        <f t="shared" si="0"/>
        <v>0</v>
      </c>
      <c r="P37" s="529">
        <f t="shared" si="1"/>
        <v>0</v>
      </c>
    </row>
    <row r="38" spans="1:16" ht="17.25" customHeight="1" x14ac:dyDescent="0.25">
      <c r="A38" s="123" t="s">
        <v>646</v>
      </c>
      <c r="B38" s="524"/>
      <c r="C38" s="500"/>
      <c r="D38" s="498"/>
      <c r="E38" s="500"/>
      <c r="F38" s="500"/>
      <c r="G38" s="500"/>
      <c r="H38" s="500"/>
      <c r="I38" s="500"/>
      <c r="J38" s="500"/>
      <c r="K38" s="500"/>
      <c r="L38" s="500"/>
      <c r="M38" s="500"/>
      <c r="N38" s="498"/>
      <c r="O38" s="529">
        <f t="shared" si="0"/>
        <v>0</v>
      </c>
      <c r="P38" s="529">
        <f t="shared" si="1"/>
        <v>0</v>
      </c>
    </row>
    <row r="39" spans="1:16" ht="30.75" customHeight="1" x14ac:dyDescent="0.25">
      <c r="A39" s="533" t="s">
        <v>122</v>
      </c>
      <c r="B39" s="534" t="s">
        <v>123</v>
      </c>
      <c r="C39" s="551">
        <f t="shared" ref="C39:K39" si="9">SUM(C40:C41)</f>
        <v>369241</v>
      </c>
      <c r="D39" s="551">
        <f t="shared" si="9"/>
        <v>600000</v>
      </c>
      <c r="E39" s="551">
        <f t="shared" si="9"/>
        <v>0</v>
      </c>
      <c r="F39" s="551">
        <f t="shared" si="9"/>
        <v>0</v>
      </c>
      <c r="G39" s="551">
        <f t="shared" si="9"/>
        <v>0</v>
      </c>
      <c r="H39" s="551">
        <f t="shared" si="9"/>
        <v>0</v>
      </c>
      <c r="I39" s="551">
        <f t="shared" si="9"/>
        <v>0</v>
      </c>
      <c r="J39" s="551">
        <f t="shared" si="9"/>
        <v>0</v>
      </c>
      <c r="K39" s="551">
        <f t="shared" si="9"/>
        <v>0</v>
      </c>
      <c r="L39" s="551">
        <f t="shared" ref="L39:N39" si="10">SUM(L40:L41)</f>
        <v>0</v>
      </c>
      <c r="M39" s="551">
        <f t="shared" si="10"/>
        <v>0</v>
      </c>
      <c r="N39" s="551">
        <f t="shared" si="10"/>
        <v>0</v>
      </c>
      <c r="O39" s="529">
        <f t="shared" si="0"/>
        <v>369241</v>
      </c>
      <c r="P39" s="529">
        <f t="shared" si="1"/>
        <v>600000</v>
      </c>
    </row>
    <row r="40" spans="1:16" ht="29.25" customHeight="1" x14ac:dyDescent="0.25">
      <c r="A40" s="123" t="s">
        <v>255</v>
      </c>
      <c r="B40" s="524"/>
      <c r="C40" s="500">
        <v>369241</v>
      </c>
      <c r="D40" s="498">
        <v>600000</v>
      </c>
      <c r="E40" s="500"/>
      <c r="F40" s="500"/>
      <c r="G40" s="500"/>
      <c r="H40" s="500"/>
      <c r="I40" s="500"/>
      <c r="J40" s="500"/>
      <c r="K40" s="500"/>
      <c r="L40" s="500"/>
      <c r="M40" s="500"/>
      <c r="N40" s="498"/>
      <c r="O40" s="529">
        <f t="shared" si="0"/>
        <v>369241</v>
      </c>
      <c r="P40" s="529">
        <f t="shared" si="1"/>
        <v>600000</v>
      </c>
    </row>
    <row r="41" spans="1:16" ht="26.25" customHeight="1" x14ac:dyDescent="0.25">
      <c r="A41" s="123" t="s">
        <v>645</v>
      </c>
      <c r="B41" s="524"/>
      <c r="C41" s="500"/>
      <c r="D41" s="498"/>
      <c r="E41" s="500"/>
      <c r="F41" s="500"/>
      <c r="G41" s="500"/>
      <c r="H41" s="500"/>
      <c r="I41" s="500"/>
      <c r="J41" s="500"/>
      <c r="K41" s="500"/>
      <c r="L41" s="500"/>
      <c r="M41" s="500"/>
      <c r="N41" s="498"/>
      <c r="O41" s="529">
        <f t="shared" si="0"/>
        <v>0</v>
      </c>
      <c r="P41" s="529">
        <f t="shared" si="1"/>
        <v>0</v>
      </c>
    </row>
    <row r="42" spans="1:16" ht="27" customHeight="1" x14ac:dyDescent="0.25">
      <c r="A42" s="539" t="s">
        <v>126</v>
      </c>
      <c r="B42" s="540" t="s">
        <v>127</v>
      </c>
      <c r="C42" s="541">
        <f>SUM(C34,C39)</f>
        <v>370384</v>
      </c>
      <c r="D42" s="542"/>
      <c r="E42" s="541">
        <f>SUM(E34,E39)</f>
        <v>0</v>
      </c>
      <c r="F42" s="541"/>
      <c r="G42" s="541"/>
      <c r="H42" s="541"/>
      <c r="I42" s="541">
        <f>SUM(I34,I39)</f>
        <v>0</v>
      </c>
      <c r="J42" s="541"/>
      <c r="K42" s="541">
        <f>SUM(K34,K39)</f>
        <v>0</v>
      </c>
      <c r="L42" s="541"/>
      <c r="M42" s="541"/>
      <c r="N42" s="542"/>
      <c r="O42" s="529">
        <f t="shared" si="0"/>
        <v>370384</v>
      </c>
      <c r="P42" s="529">
        <f t="shared" si="1"/>
        <v>0</v>
      </c>
    </row>
    <row r="43" spans="1:16" ht="18" customHeight="1" x14ac:dyDescent="0.25">
      <c r="A43" s="533" t="s">
        <v>129</v>
      </c>
      <c r="B43" s="534" t="s">
        <v>130</v>
      </c>
      <c r="C43" s="535">
        <f t="shared" ref="C43:N43" si="11">SUM(C44:C46)</f>
        <v>217197</v>
      </c>
      <c r="D43" s="535">
        <f t="shared" si="11"/>
        <v>250000</v>
      </c>
      <c r="E43" s="535">
        <f t="shared" si="11"/>
        <v>0</v>
      </c>
      <c r="F43" s="535">
        <f t="shared" si="11"/>
        <v>0</v>
      </c>
      <c r="G43" s="535">
        <f t="shared" si="11"/>
        <v>2888025</v>
      </c>
      <c r="H43" s="535">
        <f t="shared" si="11"/>
        <v>2900000</v>
      </c>
      <c r="I43" s="535">
        <f t="shared" si="11"/>
        <v>46179</v>
      </c>
      <c r="J43" s="535">
        <f t="shared" si="11"/>
        <v>50000</v>
      </c>
      <c r="K43" s="535">
        <f t="shared" si="11"/>
        <v>142275</v>
      </c>
      <c r="L43" s="535">
        <f t="shared" si="11"/>
        <v>150000</v>
      </c>
      <c r="M43" s="535">
        <f t="shared" si="11"/>
        <v>755144</v>
      </c>
      <c r="N43" s="535">
        <f t="shared" si="11"/>
        <v>750000</v>
      </c>
      <c r="O43" s="529">
        <f t="shared" si="0"/>
        <v>3293676</v>
      </c>
      <c r="P43" s="529">
        <f t="shared" si="1"/>
        <v>3950000</v>
      </c>
    </row>
    <row r="44" spans="1:16" ht="18" customHeight="1" x14ac:dyDescent="0.25">
      <c r="A44" s="123" t="s">
        <v>257</v>
      </c>
      <c r="B44" s="524"/>
      <c r="C44" s="500">
        <v>217197</v>
      </c>
      <c r="D44" s="498">
        <v>250000</v>
      </c>
      <c r="E44" s="500"/>
      <c r="F44" s="500"/>
      <c r="G44" s="500">
        <v>2888025</v>
      </c>
      <c r="H44" s="500">
        <v>2900000</v>
      </c>
      <c r="I44" s="500">
        <v>46179</v>
      </c>
      <c r="J44" s="500">
        <v>50000</v>
      </c>
      <c r="K44" s="500"/>
      <c r="L44" s="500"/>
      <c r="M44" s="500"/>
      <c r="N44" s="498">
        <v>250000</v>
      </c>
      <c r="O44" s="529">
        <f>SUM(C44,E44,G44,I44,K44)</f>
        <v>3151401</v>
      </c>
      <c r="P44" s="529">
        <f>SUM(D44,F44,H44,J44,L44,N44)</f>
        <v>3450000</v>
      </c>
    </row>
    <row r="45" spans="1:16" ht="16.5" customHeight="1" x14ac:dyDescent="0.25">
      <c r="A45" s="123" t="s">
        <v>258</v>
      </c>
      <c r="B45" s="524"/>
      <c r="C45" s="500"/>
      <c r="D45" s="498"/>
      <c r="E45" s="500"/>
      <c r="F45" s="500"/>
      <c r="G45" s="500"/>
      <c r="H45" s="500"/>
      <c r="I45" s="500"/>
      <c r="J45" s="500"/>
      <c r="K45" s="500"/>
      <c r="L45" s="500"/>
      <c r="M45" s="500">
        <v>755144</v>
      </c>
      <c r="N45" s="498">
        <v>350000</v>
      </c>
      <c r="O45" s="529">
        <f t="shared" ref="O45:O75" si="12">SUM(C45,E45,G45,I45,K45)</f>
        <v>0</v>
      </c>
      <c r="P45" s="529">
        <f t="shared" ref="P45:P73" si="13">SUM(D45,F45,H45,J45,N45)</f>
        <v>350000</v>
      </c>
    </row>
    <row r="46" spans="1:16" ht="17.25" customHeight="1" x14ac:dyDescent="0.25">
      <c r="A46" s="123" t="s">
        <v>259</v>
      </c>
      <c r="B46" s="524"/>
      <c r="C46" s="500"/>
      <c r="D46" s="498"/>
      <c r="E46" s="500"/>
      <c r="F46" s="500"/>
      <c r="G46" s="500"/>
      <c r="H46" s="500"/>
      <c r="I46" s="500"/>
      <c r="J46" s="500"/>
      <c r="K46" s="500">
        <v>142275</v>
      </c>
      <c r="L46" s="500">
        <v>150000</v>
      </c>
      <c r="M46" s="500"/>
      <c r="N46" s="498">
        <v>150000</v>
      </c>
      <c r="O46" s="529">
        <f t="shared" si="12"/>
        <v>142275</v>
      </c>
      <c r="P46" s="529">
        <f>SUM(D46,F46,H46,J46,L46,N46)</f>
        <v>300000</v>
      </c>
    </row>
    <row r="47" spans="1:16" ht="24.75" customHeight="1" x14ac:dyDescent="0.25">
      <c r="A47" s="533" t="s">
        <v>131</v>
      </c>
      <c r="B47" s="534" t="s">
        <v>132</v>
      </c>
      <c r="C47" s="551"/>
      <c r="D47" s="552"/>
      <c r="E47" s="551"/>
      <c r="F47" s="551"/>
      <c r="G47" s="551"/>
      <c r="H47" s="551"/>
      <c r="I47" s="551"/>
      <c r="J47" s="551"/>
      <c r="K47" s="551"/>
      <c r="L47" s="551"/>
      <c r="M47" s="551"/>
      <c r="N47" s="552"/>
      <c r="O47" s="529">
        <f t="shared" si="12"/>
        <v>0</v>
      </c>
      <c r="P47" s="529">
        <f>SUM(D47,F47,H47,J47,J47,N47)</f>
        <v>0</v>
      </c>
    </row>
    <row r="48" spans="1:16" ht="27" customHeight="1" x14ac:dyDescent="0.25">
      <c r="A48" s="533" t="s">
        <v>135</v>
      </c>
      <c r="B48" s="534" t="s">
        <v>136</v>
      </c>
      <c r="C48" s="551"/>
      <c r="D48" s="552"/>
      <c r="E48" s="551"/>
      <c r="F48" s="551"/>
      <c r="G48" s="551"/>
      <c r="H48" s="551"/>
      <c r="I48" s="551"/>
      <c r="J48" s="551"/>
      <c r="K48" s="551"/>
      <c r="L48" s="551"/>
      <c r="M48" s="551"/>
      <c r="N48" s="552"/>
      <c r="O48" s="529">
        <f t="shared" si="12"/>
        <v>0</v>
      </c>
      <c r="P48" s="529">
        <f t="shared" si="13"/>
        <v>0</v>
      </c>
    </row>
    <row r="49" spans="1:16" ht="25.5" x14ac:dyDescent="0.25">
      <c r="A49" s="533" t="s">
        <v>139</v>
      </c>
      <c r="B49" s="534" t="s">
        <v>140</v>
      </c>
      <c r="C49" s="551">
        <v>87951</v>
      </c>
      <c r="D49" s="552">
        <v>1500000</v>
      </c>
      <c r="E49" s="551">
        <v>1491010</v>
      </c>
      <c r="F49" s="551">
        <v>3519000</v>
      </c>
      <c r="G49" s="551"/>
      <c r="H49" s="551"/>
      <c r="I49" s="551"/>
      <c r="J49" s="551"/>
      <c r="K49" s="551">
        <v>20000</v>
      </c>
      <c r="L49" s="551">
        <v>50000</v>
      </c>
      <c r="M49" s="551"/>
      <c r="N49" s="552"/>
      <c r="O49" s="529">
        <f t="shared" si="12"/>
        <v>1598961</v>
      </c>
      <c r="P49" s="529">
        <f>SUM(D49,F49,H49,J49,L49,N49)</f>
        <v>5069000</v>
      </c>
    </row>
    <row r="50" spans="1:16" ht="25.5" x14ac:dyDescent="0.25">
      <c r="A50" s="533" t="s">
        <v>142</v>
      </c>
      <c r="B50" s="534" t="s">
        <v>143</v>
      </c>
      <c r="C50" s="535">
        <f t="shared" ref="C50:N50" si="14">SUM(C51:C53)</f>
        <v>0</v>
      </c>
      <c r="D50" s="535">
        <f t="shared" si="14"/>
        <v>0</v>
      </c>
      <c r="E50" s="535">
        <f t="shared" si="14"/>
        <v>0</v>
      </c>
      <c r="F50" s="535">
        <f t="shared" si="14"/>
        <v>0</v>
      </c>
      <c r="G50" s="535">
        <f t="shared" si="14"/>
        <v>0</v>
      </c>
      <c r="H50" s="535">
        <f t="shared" si="14"/>
        <v>0</v>
      </c>
      <c r="I50" s="535">
        <f t="shared" si="14"/>
        <v>0</v>
      </c>
      <c r="J50" s="535">
        <f t="shared" si="14"/>
        <v>0</v>
      </c>
      <c r="K50" s="535">
        <f t="shared" si="14"/>
        <v>0</v>
      </c>
      <c r="L50" s="535">
        <f t="shared" si="14"/>
        <v>0</v>
      </c>
      <c r="M50" s="535">
        <f t="shared" si="14"/>
        <v>0</v>
      </c>
      <c r="N50" s="535">
        <f t="shared" si="14"/>
        <v>0</v>
      </c>
      <c r="O50" s="529">
        <f t="shared" si="12"/>
        <v>0</v>
      </c>
      <c r="P50" s="529">
        <f t="shared" si="13"/>
        <v>0</v>
      </c>
    </row>
    <row r="51" spans="1:16" ht="15.75" customHeight="1" x14ac:dyDescent="0.25">
      <c r="A51" s="123" t="s">
        <v>260</v>
      </c>
      <c r="B51" s="524"/>
      <c r="C51" s="500"/>
      <c r="D51" s="498"/>
      <c r="E51" s="500"/>
      <c r="F51" s="500"/>
      <c r="G51" s="500"/>
      <c r="H51" s="500"/>
      <c r="I51" s="500"/>
      <c r="J51" s="500"/>
      <c r="K51" s="500"/>
      <c r="L51" s="500"/>
      <c r="M51" s="500"/>
      <c r="N51" s="498"/>
      <c r="O51" s="529">
        <f t="shared" si="12"/>
        <v>0</v>
      </c>
      <c r="P51" s="529">
        <f t="shared" si="13"/>
        <v>0</v>
      </c>
    </row>
    <row r="52" spans="1:16" ht="25.5" x14ac:dyDescent="0.25">
      <c r="A52" s="123" t="s">
        <v>261</v>
      </c>
      <c r="B52" s="524"/>
      <c r="C52" s="500"/>
      <c r="D52" s="498"/>
      <c r="E52" s="500"/>
      <c r="F52" s="500"/>
      <c r="G52" s="500"/>
      <c r="H52" s="500"/>
      <c r="I52" s="500"/>
      <c r="J52" s="500"/>
      <c r="K52" s="500"/>
      <c r="L52" s="500"/>
      <c r="M52" s="500"/>
      <c r="N52" s="498"/>
      <c r="O52" s="529">
        <f t="shared" si="12"/>
        <v>0</v>
      </c>
      <c r="P52" s="529">
        <f t="shared" si="13"/>
        <v>0</v>
      </c>
    </row>
    <row r="53" spans="1:16" ht="17.25" customHeight="1" x14ac:dyDescent="0.25">
      <c r="A53" s="123" t="s">
        <v>262</v>
      </c>
      <c r="B53" s="524"/>
      <c r="C53" s="500"/>
      <c r="D53" s="498"/>
      <c r="E53" s="500"/>
      <c r="F53" s="500"/>
      <c r="G53" s="500"/>
      <c r="H53" s="500"/>
      <c r="I53" s="500"/>
      <c r="J53" s="500"/>
      <c r="K53" s="500"/>
      <c r="L53" s="500"/>
      <c r="M53" s="500"/>
      <c r="N53" s="498"/>
      <c r="O53" s="529">
        <f t="shared" si="12"/>
        <v>0</v>
      </c>
      <c r="P53" s="529">
        <f t="shared" si="13"/>
        <v>0</v>
      </c>
    </row>
    <row r="54" spans="1:16" ht="20.25" customHeight="1" x14ac:dyDescent="0.25">
      <c r="A54" s="533" t="s">
        <v>144</v>
      </c>
      <c r="B54" s="534" t="s">
        <v>145</v>
      </c>
      <c r="C54" s="535">
        <f t="shared" ref="C54:N54" si="15">SUM(C55:C60)</f>
        <v>216959</v>
      </c>
      <c r="D54" s="535">
        <f t="shared" si="15"/>
        <v>740000</v>
      </c>
      <c r="E54" s="535">
        <f t="shared" si="15"/>
        <v>43750</v>
      </c>
      <c r="F54" s="535">
        <f t="shared" si="15"/>
        <v>0</v>
      </c>
      <c r="G54" s="535">
        <f t="shared" si="15"/>
        <v>0</v>
      </c>
      <c r="H54" s="535">
        <f t="shared" si="15"/>
        <v>0</v>
      </c>
      <c r="I54" s="535">
        <f t="shared" si="15"/>
        <v>708142</v>
      </c>
      <c r="J54" s="535">
        <f t="shared" si="15"/>
        <v>750000</v>
      </c>
      <c r="K54" s="535">
        <f t="shared" si="15"/>
        <v>137310</v>
      </c>
      <c r="L54" s="535">
        <f t="shared" si="15"/>
        <v>550000</v>
      </c>
      <c r="M54" s="535">
        <f t="shared" si="15"/>
        <v>28122</v>
      </c>
      <c r="N54" s="535">
        <f t="shared" si="15"/>
        <v>24000</v>
      </c>
      <c r="O54" s="529">
        <f t="shared" si="12"/>
        <v>1106161</v>
      </c>
      <c r="P54" s="529">
        <f t="shared" si="13"/>
        <v>1514000</v>
      </c>
    </row>
    <row r="55" spans="1:16" x14ac:dyDescent="0.25">
      <c r="A55" s="123" t="s">
        <v>647</v>
      </c>
      <c r="B55" s="455"/>
      <c r="C55" s="500">
        <v>182734</v>
      </c>
      <c r="D55" s="498">
        <v>300000</v>
      </c>
      <c r="E55" s="500"/>
      <c r="F55" s="500"/>
      <c r="G55" s="500"/>
      <c r="H55" s="500"/>
      <c r="I55" s="500"/>
      <c r="J55" s="500"/>
      <c r="K55" s="500"/>
      <c r="L55" s="500"/>
      <c r="M55" s="500"/>
      <c r="N55" s="498"/>
      <c r="O55" s="529">
        <f t="shared" si="12"/>
        <v>182734</v>
      </c>
      <c r="P55" s="529">
        <f t="shared" si="13"/>
        <v>300000</v>
      </c>
    </row>
    <row r="56" spans="1:16" ht="18" customHeight="1" x14ac:dyDescent="0.25">
      <c r="A56" s="123" t="s">
        <v>264</v>
      </c>
      <c r="B56" s="455"/>
      <c r="C56" s="500"/>
      <c r="D56" s="498"/>
      <c r="E56" s="500"/>
      <c r="F56" s="500"/>
      <c r="G56" s="500"/>
      <c r="H56" s="500"/>
      <c r="I56" s="500"/>
      <c r="J56" s="500"/>
      <c r="K56" s="500"/>
      <c r="L56" s="500"/>
      <c r="M56" s="500"/>
      <c r="N56" s="498"/>
      <c r="O56" s="529">
        <f t="shared" si="12"/>
        <v>0</v>
      </c>
      <c r="P56" s="529">
        <f t="shared" si="13"/>
        <v>0</v>
      </c>
    </row>
    <row r="57" spans="1:16" ht="20.25" customHeight="1" x14ac:dyDescent="0.25">
      <c r="A57" s="123" t="s">
        <v>265</v>
      </c>
      <c r="B57" s="455"/>
      <c r="C57" s="500"/>
      <c r="D57" s="498">
        <v>300000</v>
      </c>
      <c r="E57" s="500"/>
      <c r="F57" s="500"/>
      <c r="G57" s="500"/>
      <c r="H57" s="500"/>
      <c r="I57" s="500"/>
      <c r="J57" s="500"/>
      <c r="K57" s="500"/>
      <c r="L57" s="500"/>
      <c r="M57" s="500"/>
      <c r="N57" s="498"/>
      <c r="O57" s="529">
        <f t="shared" si="12"/>
        <v>0</v>
      </c>
      <c r="P57" s="529">
        <f t="shared" si="13"/>
        <v>300000</v>
      </c>
    </row>
    <row r="58" spans="1:16" x14ac:dyDescent="0.25">
      <c r="A58" s="123" t="s">
        <v>266</v>
      </c>
      <c r="B58" s="455"/>
      <c r="C58" s="500"/>
      <c r="D58" s="498"/>
      <c r="E58" s="500"/>
      <c r="F58" s="500"/>
      <c r="G58" s="500"/>
      <c r="H58" s="500"/>
      <c r="I58" s="500"/>
      <c r="J58" s="500"/>
      <c r="K58" s="500"/>
      <c r="L58" s="500"/>
      <c r="M58" s="500"/>
      <c r="N58" s="498"/>
      <c r="O58" s="529">
        <f t="shared" si="12"/>
        <v>0</v>
      </c>
      <c r="P58" s="529">
        <f t="shared" si="13"/>
        <v>0</v>
      </c>
    </row>
    <row r="59" spans="1:16" x14ac:dyDescent="0.25">
      <c r="A59" s="123" t="s">
        <v>267</v>
      </c>
      <c r="B59" s="455"/>
      <c r="C59" s="500"/>
      <c r="D59" s="498"/>
      <c r="E59" s="500"/>
      <c r="F59" s="500"/>
      <c r="G59" s="500"/>
      <c r="H59" s="500"/>
      <c r="I59" s="500"/>
      <c r="J59" s="500"/>
      <c r="K59" s="500">
        <v>137310</v>
      </c>
      <c r="L59" s="500"/>
      <c r="M59" s="500">
        <v>28122</v>
      </c>
      <c r="N59" s="498">
        <v>24000</v>
      </c>
      <c r="O59" s="529">
        <f t="shared" si="12"/>
        <v>137310</v>
      </c>
      <c r="P59" s="529">
        <f>SUM(D59,F59,H59,J59,L59,N59)</f>
        <v>24000</v>
      </c>
    </row>
    <row r="60" spans="1:16" ht="25.5" x14ac:dyDescent="0.25">
      <c r="A60" s="123" t="s">
        <v>268</v>
      </c>
      <c r="B60" s="455"/>
      <c r="C60" s="500">
        <v>34225</v>
      </c>
      <c r="D60" s="498">
        <v>140000</v>
      </c>
      <c r="E60" s="500">
        <v>43750</v>
      </c>
      <c r="F60" s="500"/>
      <c r="G60" s="500"/>
      <c r="H60" s="500"/>
      <c r="I60" s="500">
        <v>708142</v>
      </c>
      <c r="J60" s="500">
        <v>750000</v>
      </c>
      <c r="K60" s="500"/>
      <c r="L60" s="500">
        <v>550000</v>
      </c>
      <c r="M60" s="500"/>
      <c r="N60" s="498"/>
      <c r="O60" s="529">
        <f t="shared" si="12"/>
        <v>786117</v>
      </c>
      <c r="P60" s="529">
        <f>SUM(D60,F60,H60,J60,L60,N60)</f>
        <v>1440000</v>
      </c>
    </row>
    <row r="61" spans="1:16" ht="18.75" customHeight="1" x14ac:dyDescent="0.25">
      <c r="A61" s="334" t="s">
        <v>148</v>
      </c>
      <c r="B61" s="525" t="s">
        <v>149</v>
      </c>
      <c r="C61" s="502">
        <f t="shared" ref="C61:N61" si="16">SUM(C43,C47:C50,C54)</f>
        <v>522107</v>
      </c>
      <c r="D61" s="502">
        <f t="shared" si="16"/>
        <v>2490000</v>
      </c>
      <c r="E61" s="502">
        <f t="shared" si="16"/>
        <v>1534760</v>
      </c>
      <c r="F61" s="502">
        <f t="shared" si="16"/>
        <v>3519000</v>
      </c>
      <c r="G61" s="502">
        <f t="shared" si="16"/>
        <v>2888025</v>
      </c>
      <c r="H61" s="502">
        <f t="shared" si="16"/>
        <v>2900000</v>
      </c>
      <c r="I61" s="502">
        <f t="shared" si="16"/>
        <v>754321</v>
      </c>
      <c r="J61" s="502">
        <f t="shared" si="16"/>
        <v>800000</v>
      </c>
      <c r="K61" s="502">
        <f t="shared" si="16"/>
        <v>299585</v>
      </c>
      <c r="L61" s="502">
        <f>SUM(L33,L43,L47,L49,L54)</f>
        <v>2050000</v>
      </c>
      <c r="M61" s="502">
        <f t="shared" si="16"/>
        <v>783266</v>
      </c>
      <c r="N61" s="502">
        <f t="shared" si="16"/>
        <v>774000</v>
      </c>
      <c r="O61" s="529">
        <f t="shared" si="12"/>
        <v>5998798</v>
      </c>
      <c r="P61" s="529">
        <f t="shared" si="13"/>
        <v>10483000</v>
      </c>
    </row>
    <row r="62" spans="1:16" ht="19.5" customHeight="1" x14ac:dyDescent="0.25">
      <c r="A62" s="273" t="s">
        <v>152</v>
      </c>
      <c r="B62" s="524" t="s">
        <v>153</v>
      </c>
      <c r="C62" s="500"/>
      <c r="D62" s="498"/>
      <c r="E62" s="500"/>
      <c r="F62" s="500"/>
      <c r="G62" s="500"/>
      <c r="H62" s="500"/>
      <c r="I62" s="500"/>
      <c r="J62" s="500"/>
      <c r="K62" s="500"/>
      <c r="L62" s="500"/>
      <c r="M62" s="500"/>
      <c r="N62" s="498"/>
      <c r="O62" s="529">
        <f t="shared" si="12"/>
        <v>0</v>
      </c>
      <c r="P62" s="529">
        <f t="shared" si="13"/>
        <v>0</v>
      </c>
    </row>
    <row r="63" spans="1:16" ht="25.5" customHeight="1" x14ac:dyDescent="0.25">
      <c r="A63" s="273" t="s">
        <v>156</v>
      </c>
      <c r="B63" s="524" t="s">
        <v>157</v>
      </c>
      <c r="C63" s="500">
        <v>615500</v>
      </c>
      <c r="D63" s="498">
        <v>615000</v>
      </c>
      <c r="E63" s="500"/>
      <c r="F63" s="500"/>
      <c r="G63" s="500"/>
      <c r="H63" s="500"/>
      <c r="I63" s="500"/>
      <c r="J63" s="500"/>
      <c r="K63" s="500"/>
      <c r="L63" s="500"/>
      <c r="M63" s="500"/>
      <c r="N63" s="498"/>
      <c r="O63" s="529">
        <f t="shared" si="12"/>
        <v>615500</v>
      </c>
      <c r="P63" s="529">
        <f>SUM(D63,F63,H63,J63,L63,N63)</f>
        <v>615000</v>
      </c>
    </row>
    <row r="64" spans="1:16" ht="37.5" customHeight="1" x14ac:dyDescent="0.25">
      <c r="A64" s="334" t="s">
        <v>158</v>
      </c>
      <c r="B64" s="525" t="s">
        <v>159</v>
      </c>
      <c r="C64" s="502">
        <f>SUM(C62:C63)</f>
        <v>615500</v>
      </c>
      <c r="D64" s="502">
        <f t="shared" ref="D64:N64" si="17">SUM(D62:D63)</f>
        <v>615000</v>
      </c>
      <c r="E64" s="502">
        <f t="shared" si="17"/>
        <v>0</v>
      </c>
      <c r="F64" s="502">
        <f t="shared" si="17"/>
        <v>0</v>
      </c>
      <c r="G64" s="502">
        <f t="shared" si="17"/>
        <v>0</v>
      </c>
      <c r="H64" s="502">
        <f t="shared" si="17"/>
        <v>0</v>
      </c>
      <c r="I64" s="502">
        <f t="shared" si="17"/>
        <v>0</v>
      </c>
      <c r="J64" s="502">
        <f t="shared" si="17"/>
        <v>0</v>
      </c>
      <c r="K64" s="502">
        <f t="shared" si="17"/>
        <v>0</v>
      </c>
      <c r="L64" s="502"/>
      <c r="M64" s="502"/>
      <c r="N64" s="502">
        <f t="shared" si="17"/>
        <v>0</v>
      </c>
      <c r="O64" s="529">
        <f t="shared" si="12"/>
        <v>615500</v>
      </c>
      <c r="P64" s="529">
        <f t="shared" si="13"/>
        <v>615000</v>
      </c>
    </row>
    <row r="65" spans="1:16" ht="38.25" x14ac:dyDescent="0.25">
      <c r="A65" s="533" t="s">
        <v>162</v>
      </c>
      <c r="B65" s="534" t="s">
        <v>163</v>
      </c>
      <c r="C65" s="535">
        <f t="shared" ref="C65:N65" si="18">SUM(C66:C67)</f>
        <v>469081</v>
      </c>
      <c r="D65" s="535">
        <f t="shared" si="18"/>
        <v>753590</v>
      </c>
      <c r="E65" s="535">
        <f t="shared" si="18"/>
        <v>431246</v>
      </c>
      <c r="F65" s="535">
        <f t="shared" si="18"/>
        <v>950130.00000000012</v>
      </c>
      <c r="G65" s="535">
        <f t="shared" si="18"/>
        <v>750090</v>
      </c>
      <c r="H65" s="535">
        <f t="shared" si="18"/>
        <v>783000</v>
      </c>
      <c r="I65" s="535">
        <f t="shared" si="18"/>
        <v>203698</v>
      </c>
      <c r="J65" s="535">
        <f t="shared" si="18"/>
        <v>216000</v>
      </c>
      <c r="K65" s="535">
        <f t="shared" si="18"/>
        <v>132518</v>
      </c>
      <c r="L65" s="535">
        <f t="shared" si="18"/>
        <v>553500</v>
      </c>
      <c r="M65" s="535">
        <f t="shared" si="18"/>
        <v>204026</v>
      </c>
      <c r="N65" s="535">
        <f t="shared" si="18"/>
        <v>208980</v>
      </c>
      <c r="O65" s="529">
        <f t="shared" si="12"/>
        <v>1986633</v>
      </c>
      <c r="P65" s="529">
        <f>SUM(D65,F65,H65,J65,L65,N65)</f>
        <v>3465200</v>
      </c>
    </row>
    <row r="66" spans="1:16" ht="16.5" customHeight="1" x14ac:dyDescent="0.25">
      <c r="A66" s="123" t="s">
        <v>269</v>
      </c>
      <c r="B66" s="524"/>
      <c r="C66" s="500">
        <v>37940</v>
      </c>
      <c r="D66" s="498">
        <f>D63*0.27</f>
        <v>166050</v>
      </c>
      <c r="E66" s="500"/>
      <c r="F66" s="500"/>
      <c r="G66" s="500"/>
      <c r="H66" s="500"/>
      <c r="I66" s="500"/>
      <c r="J66" s="500"/>
      <c r="K66" s="500"/>
      <c r="L66" s="500"/>
      <c r="M66" s="500"/>
      <c r="N66" s="498"/>
      <c r="O66" s="529">
        <f t="shared" si="12"/>
        <v>37940</v>
      </c>
      <c r="P66" s="529">
        <f t="shared" si="13"/>
        <v>166050</v>
      </c>
    </row>
    <row r="67" spans="1:16" ht="20.25" customHeight="1" x14ac:dyDescent="0.25">
      <c r="A67" s="123" t="s">
        <v>270</v>
      </c>
      <c r="B67" s="524"/>
      <c r="C67" s="500">
        <v>431141</v>
      </c>
      <c r="D67" s="500">
        <v>587540</v>
      </c>
      <c r="E67" s="500">
        <v>431246</v>
      </c>
      <c r="F67" s="500">
        <f>F61*0.27</f>
        <v>950130.00000000012</v>
      </c>
      <c r="G67" s="500">
        <v>750090</v>
      </c>
      <c r="H67" s="500">
        <f>H61*0.27</f>
        <v>783000</v>
      </c>
      <c r="I67" s="500">
        <v>203698</v>
      </c>
      <c r="J67" s="500">
        <f>J61*0.27</f>
        <v>216000</v>
      </c>
      <c r="K67" s="500">
        <v>132518</v>
      </c>
      <c r="L67" s="500">
        <f>L61*0.27</f>
        <v>553500</v>
      </c>
      <c r="M67" s="500">
        <v>204026</v>
      </c>
      <c r="N67" s="500">
        <f>N61*0.27</f>
        <v>208980</v>
      </c>
      <c r="O67" s="529">
        <f t="shared" si="12"/>
        <v>1948693</v>
      </c>
      <c r="P67" s="529">
        <f>SUM(D67,F67,H67,J67,L67,N67)</f>
        <v>3299150</v>
      </c>
    </row>
    <row r="68" spans="1:16" ht="24" customHeight="1" x14ac:dyDescent="0.25">
      <c r="A68" s="533" t="s">
        <v>166</v>
      </c>
      <c r="B68" s="534" t="s">
        <v>167</v>
      </c>
      <c r="C68" s="551">
        <v>0</v>
      </c>
      <c r="D68" s="551">
        <v>0</v>
      </c>
      <c r="E68" s="551">
        <v>0</v>
      </c>
      <c r="F68" s="551">
        <v>0</v>
      </c>
      <c r="G68" s="551">
        <v>0</v>
      </c>
      <c r="H68" s="551">
        <v>0</v>
      </c>
      <c r="I68" s="551">
        <v>0</v>
      </c>
      <c r="J68" s="551">
        <v>0</v>
      </c>
      <c r="K68" s="551">
        <v>0</v>
      </c>
      <c r="L68" s="551"/>
      <c r="M68" s="551"/>
      <c r="N68" s="551">
        <v>0</v>
      </c>
      <c r="O68" s="529">
        <f t="shared" si="12"/>
        <v>0</v>
      </c>
      <c r="P68" s="529">
        <f t="shared" si="13"/>
        <v>0</v>
      </c>
    </row>
    <row r="69" spans="1:16" ht="24" customHeight="1" x14ac:dyDescent="0.25">
      <c r="A69" s="533" t="s">
        <v>170</v>
      </c>
      <c r="B69" s="534" t="s">
        <v>171</v>
      </c>
      <c r="C69" s="551">
        <v>0</v>
      </c>
      <c r="D69" s="551">
        <v>0</v>
      </c>
      <c r="E69" s="551">
        <v>0</v>
      </c>
      <c r="F69" s="551">
        <v>0</v>
      </c>
      <c r="G69" s="551">
        <v>0</v>
      </c>
      <c r="H69" s="551">
        <v>0</v>
      </c>
      <c r="I69" s="551">
        <v>0</v>
      </c>
      <c r="J69" s="551">
        <v>0</v>
      </c>
      <c r="K69" s="551">
        <v>0</v>
      </c>
      <c r="L69" s="551"/>
      <c r="M69" s="551"/>
      <c r="N69" s="551">
        <v>0</v>
      </c>
      <c r="O69" s="529">
        <f t="shared" si="12"/>
        <v>0</v>
      </c>
      <c r="P69" s="529">
        <f t="shared" si="13"/>
        <v>0</v>
      </c>
    </row>
    <row r="70" spans="1:16" ht="24.75" customHeight="1" x14ac:dyDescent="0.25">
      <c r="A70" s="533" t="s">
        <v>174</v>
      </c>
      <c r="B70" s="534" t="s">
        <v>175</v>
      </c>
      <c r="C70" s="535">
        <f t="shared" ref="C70:N70" si="19">SUM(C71:C73)</f>
        <v>27674</v>
      </c>
      <c r="D70" s="535">
        <f t="shared" si="19"/>
        <v>30000</v>
      </c>
      <c r="E70" s="535">
        <f t="shared" si="19"/>
        <v>0</v>
      </c>
      <c r="F70" s="535">
        <f t="shared" si="19"/>
        <v>0</v>
      </c>
      <c r="G70" s="535">
        <f t="shared" si="19"/>
        <v>0</v>
      </c>
      <c r="H70" s="535">
        <f t="shared" si="19"/>
        <v>0</v>
      </c>
      <c r="I70" s="535">
        <f t="shared" si="19"/>
        <v>0</v>
      </c>
      <c r="J70" s="535">
        <f t="shared" si="19"/>
        <v>0</v>
      </c>
      <c r="K70" s="535">
        <f t="shared" si="19"/>
        <v>0</v>
      </c>
      <c r="L70" s="535"/>
      <c r="M70" s="535"/>
      <c r="N70" s="535">
        <f t="shared" si="19"/>
        <v>0</v>
      </c>
      <c r="O70" s="529">
        <f t="shared" si="12"/>
        <v>27674</v>
      </c>
      <c r="P70" s="529">
        <f t="shared" si="13"/>
        <v>30000</v>
      </c>
    </row>
    <row r="71" spans="1:16" ht="15.75" customHeight="1" x14ac:dyDescent="0.25">
      <c r="A71" s="123" t="s">
        <v>271</v>
      </c>
      <c r="B71" s="524"/>
      <c r="C71" s="500"/>
      <c r="D71" s="498"/>
      <c r="E71" s="500"/>
      <c r="F71" s="500"/>
      <c r="G71" s="500"/>
      <c r="H71" s="500"/>
      <c r="I71" s="500"/>
      <c r="J71" s="500"/>
      <c r="K71" s="500"/>
      <c r="L71" s="500"/>
      <c r="M71" s="500"/>
      <c r="N71" s="498"/>
      <c r="O71" s="529">
        <f t="shared" si="12"/>
        <v>0</v>
      </c>
      <c r="P71" s="529">
        <f t="shared" si="13"/>
        <v>0</v>
      </c>
    </row>
    <row r="72" spans="1:16" ht="16.5" customHeight="1" x14ac:dyDescent="0.25">
      <c r="A72" s="123" t="s">
        <v>272</v>
      </c>
      <c r="B72" s="524"/>
      <c r="C72" s="500"/>
      <c r="D72" s="498"/>
      <c r="E72" s="500"/>
      <c r="F72" s="500"/>
      <c r="G72" s="500"/>
      <c r="H72" s="500"/>
      <c r="I72" s="500"/>
      <c r="J72" s="500"/>
      <c r="K72" s="500"/>
      <c r="L72" s="500"/>
      <c r="M72" s="500"/>
      <c r="N72" s="498"/>
      <c r="O72" s="529">
        <f t="shared" si="12"/>
        <v>0</v>
      </c>
      <c r="P72" s="529">
        <f t="shared" si="13"/>
        <v>0</v>
      </c>
    </row>
    <row r="73" spans="1:16" ht="15.75" customHeight="1" x14ac:dyDescent="0.25">
      <c r="A73" s="123" t="s">
        <v>174</v>
      </c>
      <c r="B73" s="524"/>
      <c r="C73" s="500">
        <v>27674</v>
      </c>
      <c r="D73" s="498">
        <v>30000</v>
      </c>
      <c r="E73" s="500"/>
      <c r="F73" s="500"/>
      <c r="G73" s="500"/>
      <c r="H73" s="500"/>
      <c r="I73" s="500"/>
      <c r="J73" s="500"/>
      <c r="K73" s="500"/>
      <c r="L73" s="500"/>
      <c r="M73" s="500"/>
      <c r="N73" s="498"/>
      <c r="O73" s="529">
        <f t="shared" si="12"/>
        <v>27674</v>
      </c>
      <c r="P73" s="529">
        <f t="shared" si="13"/>
        <v>30000</v>
      </c>
    </row>
    <row r="74" spans="1:16" ht="25.5" x14ac:dyDescent="0.25">
      <c r="A74" s="334" t="s">
        <v>178</v>
      </c>
      <c r="B74" s="525" t="s">
        <v>179</v>
      </c>
      <c r="C74" s="502">
        <f t="shared" ref="C74:N74" si="20">SUM(C70,C65,C68,C69)</f>
        <v>496755</v>
      </c>
      <c r="D74" s="502">
        <f t="shared" si="20"/>
        <v>783590</v>
      </c>
      <c r="E74" s="502">
        <f t="shared" si="20"/>
        <v>431246</v>
      </c>
      <c r="F74" s="502">
        <f t="shared" si="20"/>
        <v>950130.00000000012</v>
      </c>
      <c r="G74" s="502">
        <f t="shared" si="20"/>
        <v>750090</v>
      </c>
      <c r="H74" s="502">
        <f t="shared" si="20"/>
        <v>783000</v>
      </c>
      <c r="I74" s="502">
        <f t="shared" si="20"/>
        <v>203698</v>
      </c>
      <c r="J74" s="502">
        <f t="shared" si="20"/>
        <v>216000</v>
      </c>
      <c r="K74" s="502">
        <f t="shared" si="20"/>
        <v>132518</v>
      </c>
      <c r="L74" s="502">
        <f t="shared" si="20"/>
        <v>553500</v>
      </c>
      <c r="M74" s="502">
        <f t="shared" si="20"/>
        <v>204026</v>
      </c>
      <c r="N74" s="502">
        <f t="shared" si="20"/>
        <v>208980</v>
      </c>
      <c r="O74" s="529">
        <f t="shared" si="12"/>
        <v>2014307</v>
      </c>
      <c r="P74" s="529">
        <f>SUM(D74,F74,H74,J74,L74,N74)</f>
        <v>3495200</v>
      </c>
    </row>
    <row r="75" spans="1:16" ht="20.25" customHeight="1" x14ac:dyDescent="0.25">
      <c r="A75" s="536" t="s">
        <v>180</v>
      </c>
      <c r="B75" s="537" t="s">
        <v>181</v>
      </c>
      <c r="C75" s="538">
        <f>SUM(C74,C64,C61,C42,C33)</f>
        <v>2636877</v>
      </c>
      <c r="D75" s="538">
        <f t="shared" ref="D75:N75" si="21">SUM(D74,D64,D61,D42,D33)</f>
        <v>7168590</v>
      </c>
      <c r="E75" s="538">
        <f t="shared" si="21"/>
        <v>2078367</v>
      </c>
      <c r="F75" s="538">
        <f t="shared" si="21"/>
        <v>4469130</v>
      </c>
      <c r="G75" s="538">
        <f t="shared" si="21"/>
        <v>3638115</v>
      </c>
      <c r="H75" s="538">
        <f t="shared" si="21"/>
        <v>3683000</v>
      </c>
      <c r="I75" s="538">
        <f t="shared" si="21"/>
        <v>962428</v>
      </c>
      <c r="J75" s="538">
        <f t="shared" si="21"/>
        <v>1026000</v>
      </c>
      <c r="K75" s="538">
        <f t="shared" si="21"/>
        <v>721610</v>
      </c>
      <c r="L75" s="538">
        <f t="shared" si="21"/>
        <v>3903500</v>
      </c>
      <c r="M75" s="538">
        <f t="shared" si="21"/>
        <v>987292</v>
      </c>
      <c r="N75" s="538">
        <f t="shared" si="21"/>
        <v>982980</v>
      </c>
      <c r="O75" s="529">
        <f t="shared" si="12"/>
        <v>10037397</v>
      </c>
      <c r="P75" s="529">
        <f>SUM(D75,F75,H75,J75,L75,N75)</f>
        <v>21233200</v>
      </c>
    </row>
    <row r="76" spans="1:16" ht="21" customHeight="1" x14ac:dyDescent="0.25">
      <c r="A76" s="530" t="s">
        <v>616</v>
      </c>
      <c r="B76" s="531"/>
      <c r="C76" s="532">
        <f>C75+C17+C18</f>
        <v>9697780</v>
      </c>
      <c r="D76" s="532">
        <f t="shared" ref="D76:P76" si="22">D75+D17+D18</f>
        <v>18842525</v>
      </c>
      <c r="E76" s="532">
        <f t="shared" si="22"/>
        <v>2078367</v>
      </c>
      <c r="F76" s="532">
        <f t="shared" si="22"/>
        <v>4469130</v>
      </c>
      <c r="G76" s="532">
        <f t="shared" si="22"/>
        <v>3638115</v>
      </c>
      <c r="H76" s="532">
        <f t="shared" si="22"/>
        <v>3683000</v>
      </c>
      <c r="I76" s="532">
        <f t="shared" si="22"/>
        <v>962428</v>
      </c>
      <c r="J76" s="532">
        <f t="shared" si="22"/>
        <v>1026000</v>
      </c>
      <c r="K76" s="532">
        <f t="shared" si="22"/>
        <v>721610</v>
      </c>
      <c r="L76" s="532">
        <f t="shared" si="22"/>
        <v>3903500</v>
      </c>
      <c r="M76" s="532">
        <f t="shared" si="22"/>
        <v>987292</v>
      </c>
      <c r="N76" s="532">
        <f t="shared" si="22"/>
        <v>982980</v>
      </c>
      <c r="O76" s="507">
        <f t="shared" si="22"/>
        <v>17098300</v>
      </c>
      <c r="P76" s="507">
        <f t="shared" si="22"/>
        <v>32907135</v>
      </c>
    </row>
  </sheetData>
  <mergeCells count="10">
    <mergeCell ref="O5:P5"/>
    <mergeCell ref="A1:G1"/>
    <mergeCell ref="B3:K3"/>
    <mergeCell ref="A5:B6"/>
    <mergeCell ref="C5:D5"/>
    <mergeCell ref="E5:F5"/>
    <mergeCell ref="G5:H5"/>
    <mergeCell ref="I5:J5"/>
    <mergeCell ref="K5:L5"/>
    <mergeCell ref="M5:N5"/>
  </mergeCells>
  <pageMargins left="0.23622047244094491" right="0.23622047244094491" top="0.74803149606299213" bottom="0.74803149606299213" header="0.31496062992125984" footer="0.31496062992125984"/>
  <pageSetup paperSize="8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12"/>
  <sheetViews>
    <sheetView workbookViewId="0">
      <selection sqref="A1:G1"/>
    </sheetView>
  </sheetViews>
  <sheetFormatPr defaultRowHeight="15" x14ac:dyDescent="0.25"/>
  <cols>
    <col min="1" max="1" width="17.28515625" customWidth="1"/>
    <col min="3" max="3" width="15.140625" customWidth="1"/>
    <col min="4" max="4" width="15.140625" style="259" customWidth="1"/>
    <col min="5" max="5" width="14.85546875" customWidth="1"/>
    <col min="6" max="6" width="14.85546875" style="259" customWidth="1"/>
    <col min="7" max="7" width="20.42578125" customWidth="1"/>
    <col min="8" max="8" width="17.28515625" customWidth="1"/>
  </cols>
  <sheetData>
    <row r="1" spans="1:8" ht="15.75" x14ac:dyDescent="0.25">
      <c r="A1" s="895" t="s">
        <v>749</v>
      </c>
      <c r="B1" s="895"/>
      <c r="C1" s="895"/>
      <c r="D1" s="895"/>
      <c r="E1" s="895"/>
      <c r="F1" s="895"/>
      <c r="G1" s="895"/>
    </row>
    <row r="3" spans="1:8" x14ac:dyDescent="0.25">
      <c r="A3" s="931" t="s">
        <v>697</v>
      </c>
      <c r="B3" s="931"/>
      <c r="C3" s="931"/>
      <c r="D3" s="931"/>
      <c r="E3" s="931"/>
      <c r="F3" s="931"/>
      <c r="G3" s="931"/>
      <c r="H3" s="931"/>
    </row>
    <row r="4" spans="1:8" x14ac:dyDescent="0.25">
      <c r="A4" s="259"/>
      <c r="B4" s="259"/>
      <c r="C4" s="259"/>
      <c r="E4" s="259"/>
      <c r="G4" s="259"/>
      <c r="H4" s="259"/>
    </row>
    <row r="5" spans="1:8" x14ac:dyDescent="0.25">
      <c r="A5" s="953" t="s">
        <v>68</v>
      </c>
      <c r="B5" s="953" t="s">
        <v>67</v>
      </c>
      <c r="C5" s="954" t="s">
        <v>607</v>
      </c>
      <c r="D5" s="955"/>
      <c r="E5" s="955"/>
      <c r="F5" s="955"/>
      <c r="G5" s="956" t="s">
        <v>613</v>
      </c>
      <c r="H5" s="956"/>
    </row>
    <row r="6" spans="1:8" ht="24" customHeight="1" x14ac:dyDescent="0.25">
      <c r="A6" s="953"/>
      <c r="B6" s="953"/>
      <c r="C6" s="957" t="s">
        <v>617</v>
      </c>
      <c r="D6" s="958"/>
      <c r="E6" s="957" t="s">
        <v>427</v>
      </c>
      <c r="F6" s="958"/>
      <c r="G6" s="956"/>
      <c r="H6" s="956"/>
    </row>
    <row r="7" spans="1:8" ht="25.5" x14ac:dyDescent="0.25">
      <c r="A7" s="953"/>
      <c r="B7" s="953"/>
      <c r="C7" s="336" t="s">
        <v>668</v>
      </c>
      <c r="D7" s="336" t="s">
        <v>675</v>
      </c>
      <c r="E7" s="336" t="s">
        <v>668</v>
      </c>
      <c r="F7" s="336" t="s">
        <v>675</v>
      </c>
      <c r="G7" s="336" t="s">
        <v>698</v>
      </c>
      <c r="H7" s="337" t="s">
        <v>699</v>
      </c>
    </row>
    <row r="8" spans="1:8" ht="24" customHeight="1" x14ac:dyDescent="0.25">
      <c r="A8" s="341" t="s">
        <v>131</v>
      </c>
      <c r="B8" s="521" t="s">
        <v>132</v>
      </c>
      <c r="C8" s="342">
        <v>11652437</v>
      </c>
      <c r="D8" s="342">
        <v>11000000</v>
      </c>
      <c r="E8" s="340">
        <v>456573</v>
      </c>
      <c r="F8" s="340">
        <v>600071</v>
      </c>
      <c r="G8" s="339">
        <f>SUM(C8,E8)</f>
        <v>12109010</v>
      </c>
      <c r="H8" s="339">
        <f>SUM(D8,F8)</f>
        <v>11600071</v>
      </c>
    </row>
    <row r="9" spans="1:8" ht="38.25" x14ac:dyDescent="0.25">
      <c r="A9" s="341" t="s">
        <v>641</v>
      </c>
      <c r="B9" s="521" t="s">
        <v>163</v>
      </c>
      <c r="C9" s="339">
        <f>SUM(C10:C11)</f>
        <v>3146157.99</v>
      </c>
      <c r="D9" s="339">
        <f t="shared" ref="D9:F9" si="0">SUM(D10:D11)</f>
        <v>1971000</v>
      </c>
      <c r="E9" s="339">
        <f t="shared" si="0"/>
        <v>123274.71</v>
      </c>
      <c r="F9" s="339">
        <f t="shared" si="0"/>
        <v>162019.17000000001</v>
      </c>
      <c r="G9" s="339">
        <f t="shared" ref="G9:G11" si="1">SUM(C9,E9)</f>
        <v>3269432.7</v>
      </c>
      <c r="H9" s="339">
        <f t="shared" ref="H9:H11" si="2">SUM(D9,F9)</f>
        <v>2133019.17</v>
      </c>
    </row>
    <row r="10" spans="1:8" ht="22.5" customHeight="1" x14ac:dyDescent="0.25">
      <c r="A10" s="335" t="s">
        <v>269</v>
      </c>
      <c r="B10" s="522"/>
      <c r="C10" s="338">
        <f>C8*0.27</f>
        <v>3146157.99</v>
      </c>
      <c r="D10" s="338">
        <v>1971000</v>
      </c>
      <c r="E10" s="338"/>
      <c r="F10" s="338"/>
      <c r="G10" s="339">
        <f t="shared" si="1"/>
        <v>3146157.99</v>
      </c>
      <c r="H10" s="339">
        <f t="shared" si="2"/>
        <v>1971000</v>
      </c>
    </row>
    <row r="11" spans="1:8" ht="24.75" customHeight="1" x14ac:dyDescent="0.25">
      <c r="A11" s="335" t="s">
        <v>270</v>
      </c>
      <c r="B11" s="522"/>
      <c r="C11" s="864">
        <v>0</v>
      </c>
      <c r="D11" s="864"/>
      <c r="E11" s="338">
        <f>E8*0.27</f>
        <v>123274.71</v>
      </c>
      <c r="F11" s="338">
        <f>F8*0.27</f>
        <v>162019.17000000001</v>
      </c>
      <c r="G11" s="339">
        <f t="shared" si="1"/>
        <v>123274.71</v>
      </c>
      <c r="H11" s="339">
        <f t="shared" si="2"/>
        <v>162019.17000000001</v>
      </c>
    </row>
    <row r="12" spans="1:8" ht="28.5" customHeight="1" x14ac:dyDescent="0.25">
      <c r="A12" s="523" t="s">
        <v>180</v>
      </c>
      <c r="B12" s="521" t="s">
        <v>181</v>
      </c>
      <c r="C12" s="339">
        <f>SUM(C8+C9)</f>
        <v>14798594.99</v>
      </c>
      <c r="D12" s="339">
        <f t="shared" ref="D12:H12" si="3">SUM(D8+D9)</f>
        <v>12971000</v>
      </c>
      <c r="E12" s="339">
        <f t="shared" si="3"/>
        <v>579847.71</v>
      </c>
      <c r="F12" s="339">
        <f t="shared" si="3"/>
        <v>762090.17</v>
      </c>
      <c r="G12" s="339">
        <f t="shared" si="3"/>
        <v>15378442.699999999</v>
      </c>
      <c r="H12" s="339">
        <f t="shared" si="3"/>
        <v>13733090.17</v>
      </c>
    </row>
  </sheetData>
  <mergeCells count="8">
    <mergeCell ref="A1:G1"/>
    <mergeCell ref="A3:H3"/>
    <mergeCell ref="A5:A7"/>
    <mergeCell ref="B5:B7"/>
    <mergeCell ref="C5:F5"/>
    <mergeCell ref="G5:H6"/>
    <mergeCell ref="C6:D6"/>
    <mergeCell ref="E6:F6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N79"/>
  <sheetViews>
    <sheetView topLeftCell="A67" workbookViewId="0">
      <selection activeCell="F65" sqref="F65"/>
    </sheetView>
  </sheetViews>
  <sheetFormatPr defaultRowHeight="15" x14ac:dyDescent="0.25"/>
  <cols>
    <col min="1" max="1" width="23.42578125" customWidth="1"/>
    <col min="2" max="2" width="7.42578125" customWidth="1"/>
    <col min="3" max="3" width="14.5703125" customWidth="1"/>
    <col min="4" max="4" width="14.5703125" style="259" customWidth="1"/>
    <col min="5" max="5" width="15.140625" customWidth="1"/>
    <col min="6" max="6" width="15.42578125" style="259" customWidth="1"/>
    <col min="7" max="7" width="15.5703125" customWidth="1"/>
    <col min="8" max="8" width="15.42578125" style="259" customWidth="1"/>
    <col min="9" max="9" width="14.42578125" customWidth="1"/>
    <col min="10" max="10" width="14.85546875" style="259" customWidth="1"/>
    <col min="11" max="11" width="15" customWidth="1"/>
    <col min="12" max="12" width="15.42578125" style="259" customWidth="1"/>
    <col min="13" max="13" width="17" customWidth="1"/>
    <col min="14" max="14" width="15.28515625" customWidth="1"/>
  </cols>
  <sheetData>
    <row r="1" spans="1:14" s="259" customFormat="1" ht="15.75" x14ac:dyDescent="0.25">
      <c r="A1" s="895" t="s">
        <v>750</v>
      </c>
      <c r="B1" s="895"/>
      <c r="C1" s="895"/>
      <c r="D1" s="895"/>
      <c r="E1" s="895"/>
      <c r="F1" s="895"/>
      <c r="G1" s="895"/>
    </row>
    <row r="2" spans="1:14" s="259" customFormat="1" x14ac:dyDescent="0.25"/>
    <row r="3" spans="1:14" x14ac:dyDescent="0.25">
      <c r="A3" s="931" t="s">
        <v>692</v>
      </c>
      <c r="B3" s="931"/>
      <c r="C3" s="931"/>
      <c r="D3" s="931"/>
      <c r="E3" s="931"/>
      <c r="F3" s="931"/>
      <c r="G3" s="931"/>
      <c r="H3" s="931"/>
    </row>
    <row r="5" spans="1:14" s="163" customFormat="1" ht="60" customHeight="1" x14ac:dyDescent="0.25">
      <c r="A5" s="962" t="s">
        <v>68</v>
      </c>
      <c r="B5" s="962" t="s">
        <v>67</v>
      </c>
      <c r="C5" s="963" t="s">
        <v>428</v>
      </c>
      <c r="D5" s="963"/>
      <c r="E5" s="963" t="s">
        <v>540</v>
      </c>
      <c r="F5" s="963"/>
      <c r="G5" s="959" t="s">
        <v>541</v>
      </c>
      <c r="H5" s="959"/>
      <c r="I5" s="959" t="s">
        <v>429</v>
      </c>
      <c r="J5" s="959"/>
      <c r="K5" s="959" t="s">
        <v>430</v>
      </c>
      <c r="L5" s="959"/>
      <c r="M5" s="960" t="s">
        <v>230</v>
      </c>
      <c r="N5" s="960"/>
    </row>
    <row r="6" spans="1:14" s="259" customFormat="1" ht="45" x14ac:dyDescent="0.25">
      <c r="A6" s="962"/>
      <c r="B6" s="962"/>
      <c r="C6" s="343" t="s">
        <v>668</v>
      </c>
      <c r="D6" s="343" t="s">
        <v>669</v>
      </c>
      <c r="E6" s="343" t="s">
        <v>668</v>
      </c>
      <c r="F6" s="343" t="s">
        <v>669</v>
      </c>
      <c r="G6" s="343" t="s">
        <v>668</v>
      </c>
      <c r="H6" s="343" t="s">
        <v>669</v>
      </c>
      <c r="I6" s="343" t="s">
        <v>668</v>
      </c>
      <c r="J6" s="343" t="s">
        <v>669</v>
      </c>
      <c r="K6" s="343" t="s">
        <v>668</v>
      </c>
      <c r="L6" s="343" t="s">
        <v>669</v>
      </c>
      <c r="M6" s="504" t="s">
        <v>668</v>
      </c>
      <c r="N6" s="504" t="s">
        <v>669</v>
      </c>
    </row>
    <row r="7" spans="1:14" ht="51" customHeight="1" x14ac:dyDescent="0.25">
      <c r="A7" s="37" t="s">
        <v>71</v>
      </c>
      <c r="B7" s="111" t="s">
        <v>72</v>
      </c>
      <c r="C7" s="497">
        <v>1923000</v>
      </c>
      <c r="D7" s="497">
        <v>3023000</v>
      </c>
      <c r="E7" s="497">
        <v>2462780</v>
      </c>
      <c r="F7" s="497">
        <v>2527200</v>
      </c>
      <c r="G7" s="497">
        <v>2929100</v>
      </c>
      <c r="H7" s="497">
        <v>2851200</v>
      </c>
      <c r="I7" s="498"/>
      <c r="J7" s="498"/>
      <c r="K7" s="498"/>
      <c r="L7" s="498"/>
      <c r="M7" s="505">
        <f t="shared" ref="M7:N14" si="0">SUM(C7,E7,G7,I7,K7)</f>
        <v>7314880</v>
      </c>
      <c r="N7" s="505">
        <f t="shared" si="0"/>
        <v>8401400</v>
      </c>
    </row>
    <row r="8" spans="1:14" ht="28.5" customHeight="1" x14ac:dyDescent="0.25">
      <c r="A8" s="37" t="s">
        <v>539</v>
      </c>
      <c r="B8" s="111" t="s">
        <v>280</v>
      </c>
      <c r="C8" s="497"/>
      <c r="D8" s="497"/>
      <c r="E8" s="497"/>
      <c r="F8" s="497"/>
      <c r="G8" s="497"/>
      <c r="H8" s="497"/>
      <c r="I8" s="498"/>
      <c r="J8" s="498"/>
      <c r="K8" s="498"/>
      <c r="L8" s="498"/>
      <c r="M8" s="505">
        <f t="shared" si="0"/>
        <v>0</v>
      </c>
      <c r="N8" s="505">
        <f t="shared" si="0"/>
        <v>0</v>
      </c>
    </row>
    <row r="9" spans="1:14" x14ac:dyDescent="0.25">
      <c r="A9" s="37" t="s">
        <v>282</v>
      </c>
      <c r="B9" s="111" t="s">
        <v>283</v>
      </c>
      <c r="C9" s="497"/>
      <c r="D9" s="497"/>
      <c r="E9" s="497"/>
      <c r="F9" s="497"/>
      <c r="G9" s="497"/>
      <c r="H9" s="497"/>
      <c r="I9" s="498"/>
      <c r="J9" s="498"/>
      <c r="K9" s="498"/>
      <c r="L9" s="498"/>
      <c r="M9" s="505">
        <f t="shared" si="0"/>
        <v>0</v>
      </c>
      <c r="N9" s="505">
        <f t="shared" si="0"/>
        <v>0</v>
      </c>
    </row>
    <row r="10" spans="1:14" x14ac:dyDescent="0.25">
      <c r="A10" s="37" t="s">
        <v>74</v>
      </c>
      <c r="B10" s="111" t="s">
        <v>75</v>
      </c>
      <c r="C10" s="497"/>
      <c r="D10" s="497"/>
      <c r="E10" s="497"/>
      <c r="F10" s="497"/>
      <c r="G10" s="497"/>
      <c r="H10" s="497"/>
      <c r="I10" s="498"/>
      <c r="J10" s="498"/>
      <c r="K10" s="498"/>
      <c r="L10" s="498"/>
      <c r="M10" s="505">
        <f t="shared" si="0"/>
        <v>0</v>
      </c>
      <c r="N10" s="505">
        <f t="shared" si="0"/>
        <v>0</v>
      </c>
    </row>
    <row r="11" spans="1:14" x14ac:dyDescent="0.25">
      <c r="A11" s="37" t="s">
        <v>76</v>
      </c>
      <c r="B11" s="111" t="s">
        <v>77</v>
      </c>
      <c r="C11" s="497"/>
      <c r="D11" s="497">
        <v>32000</v>
      </c>
      <c r="E11" s="497">
        <v>96000</v>
      </c>
      <c r="F11" s="497">
        <v>150000</v>
      </c>
      <c r="G11" s="497">
        <v>96000</v>
      </c>
      <c r="H11" s="497">
        <v>150000</v>
      </c>
      <c r="I11" s="498"/>
      <c r="J11" s="498"/>
      <c r="K11" s="498"/>
      <c r="L11" s="498"/>
      <c r="M11" s="505">
        <f t="shared" si="0"/>
        <v>192000</v>
      </c>
      <c r="N11" s="505">
        <f t="shared" si="0"/>
        <v>332000</v>
      </c>
    </row>
    <row r="12" spans="1:14" ht="30" x14ac:dyDescent="0.25">
      <c r="A12" s="37" t="s">
        <v>78</v>
      </c>
      <c r="B12" s="111" t="s">
        <v>79</v>
      </c>
      <c r="C12" s="497">
        <v>273843</v>
      </c>
      <c r="D12" s="497">
        <v>280000</v>
      </c>
      <c r="E12" s="497"/>
      <c r="F12" s="497"/>
      <c r="G12" s="497">
        <v>234000</v>
      </c>
      <c r="H12" s="497">
        <v>312000</v>
      </c>
      <c r="I12" s="498"/>
      <c r="J12" s="498"/>
      <c r="K12" s="498"/>
      <c r="L12" s="498"/>
      <c r="M12" s="505">
        <f t="shared" si="0"/>
        <v>507843</v>
      </c>
      <c r="N12" s="505">
        <f t="shared" si="0"/>
        <v>592000</v>
      </c>
    </row>
    <row r="13" spans="1:14" x14ac:dyDescent="0.25">
      <c r="A13" s="37" t="s">
        <v>80</v>
      </c>
      <c r="B13" s="111" t="s">
        <v>81</v>
      </c>
      <c r="C13" s="497"/>
      <c r="D13" s="497"/>
      <c r="E13" s="497"/>
      <c r="F13" s="497">
        <v>12000</v>
      </c>
      <c r="G13" s="497">
        <v>12000</v>
      </c>
      <c r="H13" s="497">
        <v>12000</v>
      </c>
      <c r="I13" s="498"/>
      <c r="J13" s="498"/>
      <c r="K13" s="498"/>
      <c r="L13" s="498"/>
      <c r="M13" s="505">
        <f t="shared" si="0"/>
        <v>12000</v>
      </c>
      <c r="N13" s="505">
        <f t="shared" si="0"/>
        <v>24000</v>
      </c>
    </row>
    <row r="14" spans="1:14" ht="30" x14ac:dyDescent="0.25">
      <c r="A14" s="37" t="s">
        <v>82</v>
      </c>
      <c r="B14" s="111" t="s">
        <v>83</v>
      </c>
      <c r="C14" s="497">
        <v>500000</v>
      </c>
      <c r="D14" s="497"/>
      <c r="E14" s="497">
        <v>46175</v>
      </c>
      <c r="F14" s="497"/>
      <c r="G14" s="497"/>
      <c r="H14" s="497"/>
      <c r="I14" s="498"/>
      <c r="J14" s="498"/>
      <c r="K14" s="498"/>
      <c r="L14" s="498"/>
      <c r="M14" s="505">
        <f t="shared" si="0"/>
        <v>546175</v>
      </c>
      <c r="N14" s="505">
        <f t="shared" si="0"/>
        <v>0</v>
      </c>
    </row>
    <row r="15" spans="1:14" ht="30" x14ac:dyDescent="0.25">
      <c r="A15" s="514" t="s">
        <v>86</v>
      </c>
      <c r="B15" s="515" t="s">
        <v>87</v>
      </c>
      <c r="C15" s="516">
        <f>SUM(C7:C14)</f>
        <v>2696843</v>
      </c>
      <c r="D15" s="516">
        <f t="shared" ref="D15:L15" si="1">SUM(D7:D14)</f>
        <v>3335000</v>
      </c>
      <c r="E15" s="516">
        <f t="shared" si="1"/>
        <v>2604955</v>
      </c>
      <c r="F15" s="516">
        <f t="shared" si="1"/>
        <v>2689200</v>
      </c>
      <c r="G15" s="516">
        <f t="shared" si="1"/>
        <v>3271100</v>
      </c>
      <c r="H15" s="516">
        <f t="shared" si="1"/>
        <v>3325200</v>
      </c>
      <c r="I15" s="516">
        <f t="shared" si="1"/>
        <v>0</v>
      </c>
      <c r="J15" s="516">
        <f t="shared" si="1"/>
        <v>0</v>
      </c>
      <c r="K15" s="516">
        <f t="shared" si="1"/>
        <v>0</v>
      </c>
      <c r="L15" s="516">
        <f t="shared" si="1"/>
        <v>0</v>
      </c>
      <c r="M15" s="506">
        <f>SUM(M7:M14)</f>
        <v>8572898</v>
      </c>
      <c r="N15" s="506">
        <f t="shared" ref="N15" si="2">SUM(N7:N14)</f>
        <v>9349400</v>
      </c>
    </row>
    <row r="16" spans="1:14" ht="30" x14ac:dyDescent="0.25">
      <c r="A16" s="37" t="s">
        <v>88</v>
      </c>
      <c r="B16" s="111" t="s">
        <v>89</v>
      </c>
      <c r="C16" s="497"/>
      <c r="D16" s="497"/>
      <c r="E16" s="497"/>
      <c r="F16" s="497"/>
      <c r="G16" s="497"/>
      <c r="H16" s="497"/>
      <c r="I16" s="498"/>
      <c r="J16" s="498"/>
      <c r="K16" s="498"/>
      <c r="L16" s="498"/>
      <c r="M16" s="505">
        <f t="shared" ref="M16:M34" si="3">SUM(C16,E16,G16,I16,K16)</f>
        <v>0</v>
      </c>
      <c r="N16" s="505">
        <f t="shared" ref="N16:N34" si="4">SUM(D16,F16,H16,J16,L16)</f>
        <v>0</v>
      </c>
    </row>
    <row r="17" spans="1:14" ht="75" x14ac:dyDescent="0.25">
      <c r="A17" s="37" t="s">
        <v>90</v>
      </c>
      <c r="B17" s="111" t="s">
        <v>91</v>
      </c>
      <c r="C17" s="497"/>
      <c r="D17" s="497"/>
      <c r="E17" s="497"/>
      <c r="F17" s="497"/>
      <c r="G17" s="497"/>
      <c r="H17" s="497"/>
      <c r="I17" s="498"/>
      <c r="J17" s="498"/>
      <c r="K17" s="498"/>
      <c r="L17" s="498"/>
      <c r="M17" s="505">
        <f t="shared" si="3"/>
        <v>0</v>
      </c>
      <c r="N17" s="505">
        <f t="shared" si="4"/>
        <v>0</v>
      </c>
    </row>
    <row r="18" spans="1:14" ht="30" x14ac:dyDescent="0.25">
      <c r="A18" s="37" t="s">
        <v>92</v>
      </c>
      <c r="B18" s="111" t="s">
        <v>93</v>
      </c>
      <c r="C18" s="497"/>
      <c r="D18" s="497"/>
      <c r="E18" s="497"/>
      <c r="F18" s="497"/>
      <c r="G18" s="497"/>
      <c r="H18" s="497"/>
      <c r="I18" s="498"/>
      <c r="J18" s="498"/>
      <c r="K18" s="498"/>
      <c r="L18" s="498"/>
      <c r="M18" s="505">
        <f t="shared" si="3"/>
        <v>0</v>
      </c>
      <c r="N18" s="505">
        <f t="shared" si="4"/>
        <v>0</v>
      </c>
    </row>
    <row r="19" spans="1:14" ht="30" x14ac:dyDescent="0.25">
      <c r="A19" s="514" t="s">
        <v>96</v>
      </c>
      <c r="B19" s="515" t="s">
        <v>97</v>
      </c>
      <c r="C19" s="516">
        <f t="shared" ref="C19" si="5">SUM(C16:C18)</f>
        <v>0</v>
      </c>
      <c r="D19" s="516">
        <f t="shared" ref="D19:L19" si="6">SUM(D16:D18)</f>
        <v>0</v>
      </c>
      <c r="E19" s="516">
        <f t="shared" si="6"/>
        <v>0</v>
      </c>
      <c r="F19" s="516">
        <f t="shared" si="6"/>
        <v>0</v>
      </c>
      <c r="G19" s="516">
        <f t="shared" si="6"/>
        <v>0</v>
      </c>
      <c r="H19" s="516">
        <f t="shared" si="6"/>
        <v>0</v>
      </c>
      <c r="I19" s="516">
        <f t="shared" si="6"/>
        <v>0</v>
      </c>
      <c r="J19" s="516">
        <f t="shared" si="6"/>
        <v>0</v>
      </c>
      <c r="K19" s="516">
        <f t="shared" si="6"/>
        <v>0</v>
      </c>
      <c r="L19" s="516">
        <f t="shared" si="6"/>
        <v>0</v>
      </c>
      <c r="M19" s="505">
        <f t="shared" si="3"/>
        <v>0</v>
      </c>
      <c r="N19" s="505">
        <f t="shared" si="4"/>
        <v>0</v>
      </c>
    </row>
    <row r="20" spans="1:14" x14ac:dyDescent="0.25">
      <c r="A20" s="176" t="s">
        <v>98</v>
      </c>
      <c r="B20" s="508" t="s">
        <v>99</v>
      </c>
      <c r="C20" s="509">
        <f t="shared" ref="C20" si="7">C19+C15</f>
        <v>2696843</v>
      </c>
      <c r="D20" s="509">
        <f t="shared" ref="D20:L20" si="8">D19+D15</f>
        <v>3335000</v>
      </c>
      <c r="E20" s="509">
        <f t="shared" si="8"/>
        <v>2604955</v>
      </c>
      <c r="F20" s="509">
        <f t="shared" si="8"/>
        <v>2689200</v>
      </c>
      <c r="G20" s="509">
        <f t="shared" si="8"/>
        <v>3271100</v>
      </c>
      <c r="H20" s="509">
        <f t="shared" si="8"/>
        <v>3325200</v>
      </c>
      <c r="I20" s="509">
        <f t="shared" si="8"/>
        <v>0</v>
      </c>
      <c r="J20" s="509">
        <f t="shared" si="8"/>
        <v>0</v>
      </c>
      <c r="K20" s="509">
        <f t="shared" si="8"/>
        <v>0</v>
      </c>
      <c r="L20" s="509">
        <f t="shared" si="8"/>
        <v>0</v>
      </c>
      <c r="M20" s="505">
        <f t="shared" si="3"/>
        <v>8572898</v>
      </c>
      <c r="N20" s="505">
        <f t="shared" si="4"/>
        <v>9349400</v>
      </c>
    </row>
    <row r="21" spans="1:14" ht="45" x14ac:dyDescent="0.25">
      <c r="A21" s="37" t="s">
        <v>100</v>
      </c>
      <c r="B21" s="111" t="s">
        <v>101</v>
      </c>
      <c r="C21" s="497">
        <v>407525</v>
      </c>
      <c r="D21" s="497">
        <v>477845</v>
      </c>
      <c r="E21" s="497">
        <v>433001</v>
      </c>
      <c r="F21" s="497">
        <v>440086</v>
      </c>
      <c r="G21" s="497">
        <v>519665</v>
      </c>
      <c r="H21" s="497">
        <v>478836</v>
      </c>
      <c r="I21" s="497">
        <f t="shared" ref="I21:L21" si="9">I20*0.195</f>
        <v>0</v>
      </c>
      <c r="J21" s="497">
        <f t="shared" si="9"/>
        <v>0</v>
      </c>
      <c r="K21" s="497">
        <f t="shared" si="9"/>
        <v>0</v>
      </c>
      <c r="L21" s="497">
        <f t="shared" si="9"/>
        <v>0</v>
      </c>
      <c r="M21" s="505">
        <f t="shared" si="3"/>
        <v>1360191</v>
      </c>
      <c r="N21" s="505">
        <f t="shared" si="4"/>
        <v>1396767</v>
      </c>
    </row>
    <row r="22" spans="1:14" ht="25.5" x14ac:dyDescent="0.25">
      <c r="A22" s="517" t="s">
        <v>106</v>
      </c>
      <c r="B22" s="518" t="s">
        <v>107</v>
      </c>
      <c r="C22" s="519">
        <f t="shared" ref="C22:L22" si="10">SUM(C23:C27)</f>
        <v>0</v>
      </c>
      <c r="D22" s="519">
        <f t="shared" si="10"/>
        <v>0</v>
      </c>
      <c r="E22" s="519">
        <f t="shared" si="10"/>
        <v>25054</v>
      </c>
      <c r="F22" s="519">
        <f t="shared" si="10"/>
        <v>20000</v>
      </c>
      <c r="G22" s="519">
        <f t="shared" si="10"/>
        <v>569951</v>
      </c>
      <c r="H22" s="519">
        <f t="shared" si="10"/>
        <v>550000</v>
      </c>
      <c r="I22" s="519">
        <f t="shared" si="10"/>
        <v>0</v>
      </c>
      <c r="J22" s="519">
        <f t="shared" si="10"/>
        <v>0</v>
      </c>
      <c r="K22" s="519">
        <f t="shared" si="10"/>
        <v>0</v>
      </c>
      <c r="L22" s="519">
        <f t="shared" si="10"/>
        <v>0</v>
      </c>
      <c r="M22" s="505">
        <f t="shared" si="3"/>
        <v>595005</v>
      </c>
      <c r="N22" s="505">
        <f t="shared" si="4"/>
        <v>570000</v>
      </c>
    </row>
    <row r="23" spans="1:14" x14ac:dyDescent="0.25">
      <c r="A23" s="335" t="s">
        <v>273</v>
      </c>
      <c r="B23" s="494"/>
      <c r="C23" s="499"/>
      <c r="D23" s="499"/>
      <c r="E23" s="499"/>
      <c r="F23" s="499"/>
      <c r="G23" s="499"/>
      <c r="H23" s="499"/>
      <c r="I23" s="499"/>
      <c r="J23" s="499"/>
      <c r="K23" s="499"/>
      <c r="L23" s="499"/>
      <c r="M23" s="505">
        <f t="shared" si="3"/>
        <v>0</v>
      </c>
      <c r="N23" s="505">
        <f t="shared" si="4"/>
        <v>0</v>
      </c>
    </row>
    <row r="24" spans="1:14" x14ac:dyDescent="0.25">
      <c r="A24" s="123" t="s">
        <v>242</v>
      </c>
      <c r="B24" s="495"/>
      <c r="C24" s="500"/>
      <c r="D24" s="500"/>
      <c r="E24" s="500"/>
      <c r="F24" s="500"/>
      <c r="G24" s="500"/>
      <c r="H24" s="500"/>
      <c r="I24" s="500"/>
      <c r="J24" s="500"/>
      <c r="K24" s="500"/>
      <c r="L24" s="500"/>
      <c r="M24" s="505">
        <f t="shared" si="3"/>
        <v>0</v>
      </c>
      <c r="N24" s="505">
        <f t="shared" si="4"/>
        <v>0</v>
      </c>
    </row>
    <row r="25" spans="1:14" x14ac:dyDescent="0.25">
      <c r="A25" s="123" t="s">
        <v>243</v>
      </c>
      <c r="B25" s="495"/>
      <c r="C25" s="500"/>
      <c r="D25" s="500"/>
      <c r="E25" s="500"/>
      <c r="F25" s="500"/>
      <c r="G25" s="500"/>
      <c r="H25" s="500"/>
      <c r="I25" s="500"/>
      <c r="J25" s="500"/>
      <c r="K25" s="500"/>
      <c r="L25" s="500"/>
      <c r="M25" s="505">
        <f t="shared" si="3"/>
        <v>0</v>
      </c>
      <c r="N25" s="505">
        <f t="shared" si="4"/>
        <v>0</v>
      </c>
    </row>
    <row r="26" spans="1:14" x14ac:dyDescent="0.25">
      <c r="A26" s="123" t="s">
        <v>244</v>
      </c>
      <c r="B26" s="495"/>
      <c r="C26" s="500"/>
      <c r="D26" s="500"/>
      <c r="E26" s="500"/>
      <c r="F26" s="500"/>
      <c r="G26" s="500"/>
      <c r="H26" s="500"/>
      <c r="I26" s="500"/>
      <c r="J26" s="500"/>
      <c r="K26" s="500"/>
      <c r="L26" s="500"/>
      <c r="M26" s="505">
        <f t="shared" si="3"/>
        <v>0</v>
      </c>
      <c r="N26" s="505">
        <f t="shared" si="4"/>
        <v>0</v>
      </c>
    </row>
    <row r="27" spans="1:14" x14ac:dyDescent="0.25">
      <c r="A27" s="123" t="s">
        <v>245</v>
      </c>
      <c r="B27" s="495"/>
      <c r="C27" s="500"/>
      <c r="D27" s="500"/>
      <c r="E27" s="500">
        <v>25054</v>
      </c>
      <c r="F27" s="500">
        <v>20000</v>
      </c>
      <c r="G27" s="500">
        <v>569951</v>
      </c>
      <c r="H27" s="500">
        <v>550000</v>
      </c>
      <c r="I27" s="500"/>
      <c r="J27" s="500"/>
      <c r="K27" s="500"/>
      <c r="L27" s="500"/>
      <c r="M27" s="505">
        <f t="shared" si="3"/>
        <v>595005</v>
      </c>
      <c r="N27" s="505">
        <f t="shared" si="4"/>
        <v>570000</v>
      </c>
    </row>
    <row r="28" spans="1:14" ht="25.5" x14ac:dyDescent="0.25">
      <c r="A28" s="517" t="s">
        <v>109</v>
      </c>
      <c r="B28" s="518" t="s">
        <v>110</v>
      </c>
      <c r="C28" s="519">
        <f>SUM(C29:C34)</f>
        <v>70651</v>
      </c>
      <c r="D28" s="519">
        <f t="shared" ref="D28:L28" si="11">SUM(D29:D34)</f>
        <v>80000</v>
      </c>
      <c r="E28" s="519">
        <f t="shared" si="11"/>
        <v>63850</v>
      </c>
      <c r="F28" s="519">
        <f t="shared" si="11"/>
        <v>62000</v>
      </c>
      <c r="G28" s="519">
        <f t="shared" si="11"/>
        <v>59884</v>
      </c>
      <c r="H28" s="519">
        <f t="shared" si="11"/>
        <v>60000</v>
      </c>
      <c r="I28" s="519">
        <f t="shared" si="11"/>
        <v>92060</v>
      </c>
      <c r="J28" s="519">
        <f t="shared" si="11"/>
        <v>0</v>
      </c>
      <c r="K28" s="519">
        <f t="shared" si="11"/>
        <v>0</v>
      </c>
      <c r="L28" s="519">
        <f t="shared" si="11"/>
        <v>0</v>
      </c>
      <c r="M28" s="505">
        <f t="shared" si="3"/>
        <v>286445</v>
      </c>
      <c r="N28" s="505">
        <f t="shared" si="4"/>
        <v>202000</v>
      </c>
    </row>
    <row r="29" spans="1:14" x14ac:dyDescent="0.25">
      <c r="A29" s="123" t="s">
        <v>246</v>
      </c>
      <c r="B29" s="495"/>
      <c r="C29" s="501"/>
      <c r="D29" s="500"/>
      <c r="E29" s="500"/>
      <c r="F29" s="500">
        <v>12000</v>
      </c>
      <c r="G29" s="500"/>
      <c r="H29" s="500"/>
      <c r="I29" s="500"/>
      <c r="J29" s="500"/>
      <c r="K29" s="500"/>
      <c r="L29" s="500"/>
      <c r="M29" s="505">
        <f t="shared" si="3"/>
        <v>0</v>
      </c>
      <c r="N29" s="505">
        <f t="shared" si="4"/>
        <v>12000</v>
      </c>
    </row>
    <row r="30" spans="1:14" x14ac:dyDescent="0.25">
      <c r="A30" s="123" t="s">
        <v>274</v>
      </c>
      <c r="B30" s="495"/>
      <c r="C30" s="500"/>
      <c r="D30" s="500"/>
      <c r="E30" s="500"/>
      <c r="F30" s="500"/>
      <c r="G30" s="500"/>
      <c r="H30" s="500"/>
      <c r="I30" s="500"/>
      <c r="J30" s="500"/>
      <c r="K30" s="500"/>
      <c r="L30" s="500"/>
      <c r="M30" s="505">
        <f t="shared" si="3"/>
        <v>0</v>
      </c>
      <c r="N30" s="505">
        <f t="shared" si="4"/>
        <v>0</v>
      </c>
    </row>
    <row r="31" spans="1:14" ht="25.5" x14ac:dyDescent="0.25">
      <c r="A31" s="123" t="s">
        <v>247</v>
      </c>
      <c r="B31" s="495"/>
      <c r="C31" s="500"/>
      <c r="D31" s="500"/>
      <c r="E31" s="500"/>
      <c r="F31" s="500"/>
      <c r="G31" s="500"/>
      <c r="H31" s="500"/>
      <c r="I31" s="500"/>
      <c r="J31" s="500"/>
      <c r="K31" s="500"/>
      <c r="L31" s="500"/>
      <c r="M31" s="505">
        <f t="shared" si="3"/>
        <v>0</v>
      </c>
      <c r="N31" s="505">
        <f t="shared" si="4"/>
        <v>0</v>
      </c>
    </row>
    <row r="32" spans="1:14" ht="25.5" x14ac:dyDescent="0.25">
      <c r="A32" s="123" t="s">
        <v>248</v>
      </c>
      <c r="B32" s="495"/>
      <c r="C32" s="500"/>
      <c r="D32" s="500"/>
      <c r="E32" s="500"/>
      <c r="F32" s="500"/>
      <c r="G32" s="500"/>
      <c r="H32" s="500"/>
      <c r="I32" s="500"/>
      <c r="J32" s="500"/>
      <c r="K32" s="500"/>
      <c r="L32" s="500"/>
      <c r="M32" s="505">
        <f t="shared" si="3"/>
        <v>0</v>
      </c>
      <c r="N32" s="505">
        <f t="shared" si="4"/>
        <v>0</v>
      </c>
    </row>
    <row r="33" spans="1:14" ht="20.25" customHeight="1" x14ac:dyDescent="0.25">
      <c r="A33" s="123" t="s">
        <v>249</v>
      </c>
      <c r="B33" s="495"/>
      <c r="C33" s="500">
        <v>70651</v>
      </c>
      <c r="D33" s="500">
        <v>80000</v>
      </c>
      <c r="E33" s="500">
        <v>63850</v>
      </c>
      <c r="F33" s="500">
        <v>50000</v>
      </c>
      <c r="G33" s="500">
        <v>59884</v>
      </c>
      <c r="H33" s="500">
        <v>60000</v>
      </c>
      <c r="I33" s="500">
        <v>92060</v>
      </c>
      <c r="J33" s="500"/>
      <c r="K33" s="500"/>
      <c r="L33" s="500"/>
      <c r="M33" s="505">
        <f t="shared" si="3"/>
        <v>286445</v>
      </c>
      <c r="N33" s="505">
        <f t="shared" si="4"/>
        <v>190000</v>
      </c>
    </row>
    <row r="34" spans="1:14" ht="18" customHeight="1" x14ac:dyDescent="0.25">
      <c r="A34" s="123" t="s">
        <v>250</v>
      </c>
      <c r="B34" s="495"/>
      <c r="C34" s="500"/>
      <c r="D34" s="500"/>
      <c r="E34" s="500"/>
      <c r="F34" s="500"/>
      <c r="G34" s="500"/>
      <c r="H34" s="500"/>
      <c r="I34" s="500"/>
      <c r="J34" s="500"/>
      <c r="K34" s="500"/>
      <c r="L34" s="500"/>
      <c r="M34" s="505">
        <f t="shared" si="3"/>
        <v>0</v>
      </c>
      <c r="N34" s="505">
        <f t="shared" si="4"/>
        <v>0</v>
      </c>
    </row>
    <row r="35" spans="1:14" x14ac:dyDescent="0.25">
      <c r="A35" s="517" t="s">
        <v>112</v>
      </c>
      <c r="B35" s="518" t="s">
        <v>113</v>
      </c>
      <c r="C35" s="520"/>
      <c r="D35" s="520"/>
      <c r="E35" s="520"/>
      <c r="F35" s="520"/>
      <c r="G35" s="520"/>
      <c r="H35" s="520"/>
      <c r="I35" s="520"/>
      <c r="J35" s="520"/>
      <c r="K35" s="520"/>
      <c r="L35" s="520"/>
      <c r="M35" s="505">
        <f t="shared" ref="M35:M79" si="12">SUM(C35,E35,G35,I35,K35)</f>
        <v>0</v>
      </c>
      <c r="N35" s="505">
        <f>SUM(D35,F35,H35,J35,L35)</f>
        <v>0</v>
      </c>
    </row>
    <row r="36" spans="1:14" ht="20.25" customHeight="1" x14ac:dyDescent="0.25">
      <c r="A36" s="334" t="s">
        <v>115</v>
      </c>
      <c r="B36" s="496" t="s">
        <v>116</v>
      </c>
      <c r="C36" s="502">
        <f t="shared" ref="C36:L36" si="13">SUM(C28,C22,C35)</f>
        <v>70651</v>
      </c>
      <c r="D36" s="502">
        <f t="shared" si="13"/>
        <v>80000</v>
      </c>
      <c r="E36" s="502">
        <f t="shared" si="13"/>
        <v>88904</v>
      </c>
      <c r="F36" s="502">
        <f t="shared" si="13"/>
        <v>82000</v>
      </c>
      <c r="G36" s="502">
        <f t="shared" si="13"/>
        <v>629835</v>
      </c>
      <c r="H36" s="502">
        <f t="shared" si="13"/>
        <v>610000</v>
      </c>
      <c r="I36" s="502">
        <f t="shared" si="13"/>
        <v>92060</v>
      </c>
      <c r="J36" s="502">
        <f t="shared" si="13"/>
        <v>0</v>
      </c>
      <c r="K36" s="502">
        <f t="shared" si="13"/>
        <v>0</v>
      </c>
      <c r="L36" s="502">
        <f t="shared" si="13"/>
        <v>0</v>
      </c>
      <c r="M36" s="505">
        <f t="shared" si="12"/>
        <v>881450</v>
      </c>
      <c r="N36" s="505">
        <f t="shared" ref="N36:N79" si="14">SUM(D36,F36,H36,J36,L36)</f>
        <v>772000</v>
      </c>
    </row>
    <row r="37" spans="1:14" ht="25.5" x14ac:dyDescent="0.25">
      <c r="A37" s="517" t="s">
        <v>119</v>
      </c>
      <c r="B37" s="518" t="s">
        <v>120</v>
      </c>
      <c r="C37" s="520">
        <f t="shared" ref="C37:L37" si="15">SUM(C38:C41)</f>
        <v>98411</v>
      </c>
      <c r="D37" s="520">
        <f t="shared" si="15"/>
        <v>100000</v>
      </c>
      <c r="E37" s="520">
        <f t="shared" si="15"/>
        <v>0</v>
      </c>
      <c r="F37" s="520">
        <f t="shared" si="15"/>
        <v>0</v>
      </c>
      <c r="G37" s="520">
        <f t="shared" si="15"/>
        <v>0</v>
      </c>
      <c r="H37" s="520">
        <f t="shared" si="15"/>
        <v>0</v>
      </c>
      <c r="I37" s="520">
        <f t="shared" ref="I37:K37" si="16">SUM(I38:I41)</f>
        <v>0</v>
      </c>
      <c r="J37" s="520">
        <f t="shared" si="15"/>
        <v>0</v>
      </c>
      <c r="K37" s="520">
        <f t="shared" si="16"/>
        <v>0</v>
      </c>
      <c r="L37" s="520">
        <f t="shared" si="15"/>
        <v>0</v>
      </c>
      <c r="M37" s="505">
        <f t="shared" si="12"/>
        <v>98411</v>
      </c>
      <c r="N37" s="505">
        <f t="shared" si="14"/>
        <v>100000</v>
      </c>
    </row>
    <row r="38" spans="1:14" ht="29.25" customHeight="1" x14ac:dyDescent="0.25">
      <c r="A38" s="123" t="s">
        <v>636</v>
      </c>
      <c r="B38" s="495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5">
        <f t="shared" si="12"/>
        <v>0</v>
      </c>
      <c r="N38" s="505">
        <f t="shared" si="14"/>
        <v>0</v>
      </c>
    </row>
    <row r="39" spans="1:14" ht="30.75" customHeight="1" x14ac:dyDescent="0.25">
      <c r="A39" s="123" t="s">
        <v>252</v>
      </c>
      <c r="B39" s="495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5">
        <f t="shared" si="12"/>
        <v>0</v>
      </c>
      <c r="N39" s="505">
        <f t="shared" si="14"/>
        <v>0</v>
      </c>
    </row>
    <row r="40" spans="1:14" x14ac:dyDescent="0.25">
      <c r="A40" s="123" t="s">
        <v>253</v>
      </c>
      <c r="B40" s="495"/>
      <c r="C40" s="500"/>
      <c r="D40" s="500"/>
      <c r="E40" s="500"/>
      <c r="F40" s="500"/>
      <c r="G40" s="500"/>
      <c r="H40" s="500"/>
      <c r="I40" s="500"/>
      <c r="J40" s="500"/>
      <c r="K40" s="500"/>
      <c r="L40" s="500"/>
      <c r="M40" s="505">
        <f t="shared" si="12"/>
        <v>0</v>
      </c>
      <c r="N40" s="505">
        <f t="shared" si="14"/>
        <v>0</v>
      </c>
    </row>
    <row r="41" spans="1:14" ht="25.5" x14ac:dyDescent="0.25">
      <c r="A41" s="123" t="s">
        <v>254</v>
      </c>
      <c r="B41" s="495"/>
      <c r="C41" s="500">
        <v>98411</v>
      </c>
      <c r="D41" s="500">
        <v>100000</v>
      </c>
      <c r="E41" s="500"/>
      <c r="F41" s="500"/>
      <c r="G41" s="500"/>
      <c r="H41" s="500"/>
      <c r="I41" s="500"/>
      <c r="J41" s="500"/>
      <c r="K41" s="500"/>
      <c r="L41" s="500"/>
      <c r="M41" s="505">
        <f t="shared" si="12"/>
        <v>98411</v>
      </c>
      <c r="N41" s="505">
        <f t="shared" si="14"/>
        <v>100000</v>
      </c>
    </row>
    <row r="42" spans="1:14" ht="25.5" x14ac:dyDescent="0.25">
      <c r="A42" s="517" t="s">
        <v>122</v>
      </c>
      <c r="B42" s="518" t="s">
        <v>123</v>
      </c>
      <c r="C42" s="519">
        <f t="shared" ref="C42:L42" si="17">SUM(C43:C44)</f>
        <v>43227</v>
      </c>
      <c r="D42" s="519">
        <f t="shared" si="17"/>
        <v>50000</v>
      </c>
      <c r="E42" s="519">
        <f t="shared" si="17"/>
        <v>0</v>
      </c>
      <c r="F42" s="519">
        <f t="shared" si="17"/>
        <v>0</v>
      </c>
      <c r="G42" s="519">
        <f t="shared" si="17"/>
        <v>130387</v>
      </c>
      <c r="H42" s="519">
        <f t="shared" si="17"/>
        <v>130000</v>
      </c>
      <c r="I42" s="519">
        <f t="shared" si="17"/>
        <v>114212</v>
      </c>
      <c r="J42" s="519">
        <f t="shared" si="17"/>
        <v>150000</v>
      </c>
      <c r="K42" s="519">
        <f t="shared" si="17"/>
        <v>0</v>
      </c>
      <c r="L42" s="519">
        <f t="shared" si="17"/>
        <v>0</v>
      </c>
      <c r="M42" s="505">
        <f t="shared" si="12"/>
        <v>287826</v>
      </c>
      <c r="N42" s="505">
        <f t="shared" si="14"/>
        <v>330000</v>
      </c>
    </row>
    <row r="43" spans="1:14" ht="25.5" x14ac:dyDescent="0.25">
      <c r="A43" s="123" t="s">
        <v>255</v>
      </c>
      <c r="B43" s="495"/>
      <c r="C43" s="500">
        <v>43227</v>
      </c>
      <c r="D43" s="500">
        <v>50000</v>
      </c>
      <c r="E43" s="500"/>
      <c r="F43" s="500"/>
      <c r="G43" s="500">
        <v>130387</v>
      </c>
      <c r="H43" s="500">
        <v>130000</v>
      </c>
      <c r="I43" s="500">
        <v>114212</v>
      </c>
      <c r="J43" s="500">
        <v>150000</v>
      </c>
      <c r="K43" s="500"/>
      <c r="L43" s="500"/>
      <c r="M43" s="505">
        <f t="shared" si="12"/>
        <v>287826</v>
      </c>
      <c r="N43" s="505">
        <f t="shared" si="14"/>
        <v>330000</v>
      </c>
    </row>
    <row r="44" spans="1:14" ht="38.25" x14ac:dyDescent="0.25">
      <c r="A44" s="123" t="s">
        <v>256</v>
      </c>
      <c r="B44" s="495"/>
      <c r="C44" s="500"/>
      <c r="D44" s="500"/>
      <c r="E44" s="500"/>
      <c r="F44" s="500"/>
      <c r="G44" s="500"/>
      <c r="H44" s="500"/>
      <c r="I44" s="500"/>
      <c r="J44" s="500"/>
      <c r="K44" s="500"/>
      <c r="L44" s="500"/>
      <c r="M44" s="505">
        <f t="shared" si="12"/>
        <v>0</v>
      </c>
      <c r="N44" s="505">
        <f t="shared" si="14"/>
        <v>0</v>
      </c>
    </row>
    <row r="45" spans="1:14" ht="25.5" x14ac:dyDescent="0.25">
      <c r="A45" s="334" t="s">
        <v>126</v>
      </c>
      <c r="B45" s="496" t="s">
        <v>127</v>
      </c>
      <c r="C45" s="502">
        <f t="shared" ref="C45:L45" si="18">SUM(C37,C42)</f>
        <v>141638</v>
      </c>
      <c r="D45" s="502">
        <f t="shared" si="18"/>
        <v>150000</v>
      </c>
      <c r="E45" s="502">
        <f t="shared" si="18"/>
        <v>0</v>
      </c>
      <c r="F45" s="502">
        <f t="shared" si="18"/>
        <v>0</v>
      </c>
      <c r="G45" s="502">
        <f t="shared" si="18"/>
        <v>130387</v>
      </c>
      <c r="H45" s="502">
        <f t="shared" si="18"/>
        <v>130000</v>
      </c>
      <c r="I45" s="502">
        <f t="shared" si="18"/>
        <v>114212</v>
      </c>
      <c r="J45" s="502">
        <f t="shared" si="18"/>
        <v>150000</v>
      </c>
      <c r="K45" s="502">
        <f t="shared" si="18"/>
        <v>0</v>
      </c>
      <c r="L45" s="502">
        <f t="shared" si="18"/>
        <v>0</v>
      </c>
      <c r="M45" s="505">
        <f t="shared" si="12"/>
        <v>386237</v>
      </c>
      <c r="N45" s="505">
        <f t="shared" si="14"/>
        <v>430000</v>
      </c>
    </row>
    <row r="46" spans="1:14" ht="18" customHeight="1" x14ac:dyDescent="0.25">
      <c r="A46" s="517" t="s">
        <v>129</v>
      </c>
      <c r="B46" s="518" t="s">
        <v>130</v>
      </c>
      <c r="C46" s="519">
        <f t="shared" ref="C46:L46" si="19">SUM(C47:C49)</f>
        <v>501924</v>
      </c>
      <c r="D46" s="519">
        <f t="shared" si="19"/>
        <v>850000</v>
      </c>
      <c r="E46" s="519">
        <f t="shared" si="19"/>
        <v>140987</v>
      </c>
      <c r="F46" s="519">
        <f t="shared" si="19"/>
        <v>150000</v>
      </c>
      <c r="G46" s="519">
        <f t="shared" si="19"/>
        <v>640361</v>
      </c>
      <c r="H46" s="519">
        <f t="shared" si="19"/>
        <v>0</v>
      </c>
      <c r="I46" s="519">
        <f t="shared" si="19"/>
        <v>579896</v>
      </c>
      <c r="J46" s="519">
        <f t="shared" si="19"/>
        <v>560000</v>
      </c>
      <c r="K46" s="519">
        <f t="shared" si="19"/>
        <v>0</v>
      </c>
      <c r="L46" s="519">
        <f t="shared" si="19"/>
        <v>0</v>
      </c>
      <c r="M46" s="505">
        <f t="shared" si="12"/>
        <v>1863168</v>
      </c>
      <c r="N46" s="505">
        <f t="shared" si="14"/>
        <v>1560000</v>
      </c>
    </row>
    <row r="47" spans="1:14" x14ac:dyDescent="0.25">
      <c r="A47" s="123" t="s">
        <v>257</v>
      </c>
      <c r="B47" s="495"/>
      <c r="C47" s="500"/>
      <c r="D47" s="500">
        <v>200000</v>
      </c>
      <c r="E47" s="500">
        <v>140987</v>
      </c>
      <c r="F47" s="500">
        <v>150000</v>
      </c>
      <c r="G47" s="500"/>
      <c r="H47" s="500"/>
      <c r="I47" s="500"/>
      <c r="J47" s="500">
        <v>235000</v>
      </c>
      <c r="K47" s="500"/>
      <c r="L47" s="500"/>
      <c r="M47" s="505">
        <f t="shared" si="12"/>
        <v>140987</v>
      </c>
      <c r="N47" s="505">
        <f t="shared" si="14"/>
        <v>585000</v>
      </c>
    </row>
    <row r="48" spans="1:14" x14ac:dyDescent="0.25">
      <c r="A48" s="123" t="s">
        <v>258</v>
      </c>
      <c r="B48" s="495"/>
      <c r="C48" s="500">
        <v>501924</v>
      </c>
      <c r="D48" s="500">
        <v>500000</v>
      </c>
      <c r="E48" s="500"/>
      <c r="F48" s="500"/>
      <c r="G48" s="500">
        <v>640361</v>
      </c>
      <c r="H48" s="500"/>
      <c r="I48" s="500">
        <v>579896</v>
      </c>
      <c r="J48" s="500">
        <v>260000</v>
      </c>
      <c r="K48" s="500"/>
      <c r="L48" s="500"/>
      <c r="M48" s="505">
        <f t="shared" si="12"/>
        <v>1722181</v>
      </c>
      <c r="N48" s="505">
        <f t="shared" si="14"/>
        <v>760000</v>
      </c>
    </row>
    <row r="49" spans="1:14" x14ac:dyDescent="0.25">
      <c r="A49" s="123" t="s">
        <v>259</v>
      </c>
      <c r="B49" s="495"/>
      <c r="C49" s="500"/>
      <c r="D49" s="500">
        <v>150000</v>
      </c>
      <c r="E49" s="500"/>
      <c r="F49" s="500"/>
      <c r="G49" s="500"/>
      <c r="H49" s="500"/>
      <c r="I49" s="500"/>
      <c r="J49" s="500">
        <v>65000</v>
      </c>
      <c r="K49" s="500"/>
      <c r="L49" s="500"/>
      <c r="M49" s="505">
        <f t="shared" si="12"/>
        <v>0</v>
      </c>
      <c r="N49" s="505">
        <f t="shared" si="14"/>
        <v>215000</v>
      </c>
    </row>
    <row r="50" spans="1:14" x14ac:dyDescent="0.25">
      <c r="A50" s="517" t="s">
        <v>131</v>
      </c>
      <c r="B50" s="518" t="s">
        <v>132</v>
      </c>
      <c r="C50" s="520"/>
      <c r="D50" s="520"/>
      <c r="E50" s="520"/>
      <c r="F50" s="520"/>
      <c r="G50" s="520"/>
      <c r="H50" s="520"/>
      <c r="I50" s="520">
        <v>0</v>
      </c>
      <c r="J50" s="520"/>
      <c r="K50" s="520"/>
      <c r="L50" s="520"/>
      <c r="M50" s="505">
        <f t="shared" si="12"/>
        <v>0</v>
      </c>
      <c r="N50" s="505">
        <f t="shared" si="14"/>
        <v>0</v>
      </c>
    </row>
    <row r="51" spans="1:14" x14ac:dyDescent="0.25">
      <c r="A51" s="517" t="s">
        <v>135</v>
      </c>
      <c r="B51" s="518" t="s">
        <v>136</v>
      </c>
      <c r="C51" s="520"/>
      <c r="D51" s="520"/>
      <c r="E51" s="520"/>
      <c r="F51" s="520"/>
      <c r="G51" s="520"/>
      <c r="H51" s="520"/>
      <c r="I51" s="520">
        <v>0</v>
      </c>
      <c r="J51" s="520"/>
      <c r="K51" s="520"/>
      <c r="L51" s="520"/>
      <c r="M51" s="505">
        <f t="shared" si="12"/>
        <v>0</v>
      </c>
      <c r="N51" s="505">
        <f t="shared" si="14"/>
        <v>0</v>
      </c>
    </row>
    <row r="52" spans="1:14" ht="25.5" x14ac:dyDescent="0.25">
      <c r="A52" s="517" t="s">
        <v>139</v>
      </c>
      <c r="B52" s="518" t="s">
        <v>140</v>
      </c>
      <c r="C52" s="520"/>
      <c r="D52" s="520"/>
      <c r="E52" s="520">
        <v>357745</v>
      </c>
      <c r="F52" s="520">
        <v>200000</v>
      </c>
      <c r="G52" s="520"/>
      <c r="H52" s="520"/>
      <c r="I52" s="520">
        <v>121614</v>
      </c>
      <c r="J52" s="520"/>
      <c r="K52" s="520"/>
      <c r="L52" s="520"/>
      <c r="M52" s="505">
        <f t="shared" si="12"/>
        <v>479359</v>
      </c>
      <c r="N52" s="505">
        <f t="shared" si="14"/>
        <v>200000</v>
      </c>
    </row>
    <row r="53" spans="1:14" ht="41.25" customHeight="1" x14ac:dyDescent="0.25">
      <c r="A53" s="517" t="s">
        <v>142</v>
      </c>
      <c r="B53" s="518" t="s">
        <v>143</v>
      </c>
      <c r="C53" s="519">
        <f>SUM(C54:C56)</f>
        <v>0</v>
      </c>
      <c r="D53" s="519">
        <f t="shared" ref="D53:L53" si="20">SUM(D54:D56)</f>
        <v>0</v>
      </c>
      <c r="E53" s="519">
        <f t="shared" si="20"/>
        <v>1600000</v>
      </c>
      <c r="F53" s="519">
        <f t="shared" si="20"/>
        <v>2250000</v>
      </c>
      <c r="G53" s="519">
        <f t="shared" si="20"/>
        <v>0</v>
      </c>
      <c r="H53" s="519">
        <f t="shared" si="20"/>
        <v>0</v>
      </c>
      <c r="I53" s="519">
        <f t="shared" si="20"/>
        <v>0</v>
      </c>
      <c r="J53" s="519">
        <f t="shared" si="20"/>
        <v>0</v>
      </c>
      <c r="K53" s="519">
        <f t="shared" si="20"/>
        <v>4272500</v>
      </c>
      <c r="L53" s="519">
        <f t="shared" si="20"/>
        <v>4000000</v>
      </c>
      <c r="M53" s="505">
        <f t="shared" si="12"/>
        <v>5872500</v>
      </c>
      <c r="N53" s="505">
        <f t="shared" si="14"/>
        <v>6250000</v>
      </c>
    </row>
    <row r="54" spans="1:14" x14ac:dyDescent="0.25">
      <c r="A54" s="123" t="s">
        <v>260</v>
      </c>
      <c r="B54" s="495"/>
      <c r="C54" s="500"/>
      <c r="D54" s="500"/>
      <c r="E54" s="500">
        <v>1600000</v>
      </c>
      <c r="F54" s="500">
        <v>2250000</v>
      </c>
      <c r="G54" s="500"/>
      <c r="H54" s="500"/>
      <c r="I54" s="500"/>
      <c r="J54" s="500"/>
      <c r="K54" s="500"/>
      <c r="L54" s="500"/>
      <c r="M54" s="505">
        <f t="shared" si="12"/>
        <v>1600000</v>
      </c>
      <c r="N54" s="505">
        <f t="shared" si="14"/>
        <v>2250000</v>
      </c>
    </row>
    <row r="55" spans="1:14" ht="25.5" x14ac:dyDescent="0.25">
      <c r="A55" s="123" t="s">
        <v>261</v>
      </c>
      <c r="B55" s="495"/>
      <c r="C55" s="500"/>
      <c r="D55" s="500"/>
      <c r="E55" s="500"/>
      <c r="F55" s="500"/>
      <c r="G55" s="500"/>
      <c r="H55" s="500"/>
      <c r="I55" s="500"/>
      <c r="J55" s="500"/>
      <c r="K55" s="500"/>
      <c r="L55" s="500"/>
      <c r="M55" s="505">
        <f t="shared" si="12"/>
        <v>0</v>
      </c>
      <c r="N55" s="505">
        <f t="shared" si="14"/>
        <v>0</v>
      </c>
    </row>
    <row r="56" spans="1:14" ht="25.5" x14ac:dyDescent="0.25">
      <c r="A56" s="123" t="s">
        <v>262</v>
      </c>
      <c r="B56" s="495"/>
      <c r="C56" s="500"/>
      <c r="D56" s="500"/>
      <c r="E56" s="500"/>
      <c r="F56" s="500"/>
      <c r="G56" s="500"/>
      <c r="H56" s="500"/>
      <c r="I56" s="500"/>
      <c r="J56" s="500"/>
      <c r="K56" s="500">
        <v>4272500</v>
      </c>
      <c r="L56" s="500">
        <v>4000000</v>
      </c>
      <c r="M56" s="505">
        <f t="shared" si="12"/>
        <v>4272500</v>
      </c>
      <c r="N56" s="505">
        <f t="shared" si="14"/>
        <v>4000000</v>
      </c>
    </row>
    <row r="57" spans="1:14" x14ac:dyDescent="0.25">
      <c r="A57" s="517" t="s">
        <v>144</v>
      </c>
      <c r="B57" s="518" t="s">
        <v>145</v>
      </c>
      <c r="C57" s="519">
        <f t="shared" ref="C57:L57" si="21">SUM(C58:C63)</f>
        <v>43093</v>
      </c>
      <c r="D57" s="519">
        <f t="shared" si="21"/>
        <v>29000</v>
      </c>
      <c r="E57" s="519">
        <f t="shared" si="21"/>
        <v>0</v>
      </c>
      <c r="F57" s="519">
        <f t="shared" si="21"/>
        <v>0</v>
      </c>
      <c r="G57" s="519">
        <f t="shared" si="21"/>
        <v>554214</v>
      </c>
      <c r="H57" s="519">
        <f t="shared" si="21"/>
        <v>300000</v>
      </c>
      <c r="I57" s="519">
        <f t="shared" si="21"/>
        <v>20693</v>
      </c>
      <c r="J57" s="519">
        <f t="shared" si="21"/>
        <v>24000</v>
      </c>
      <c r="K57" s="519">
        <f t="shared" si="21"/>
        <v>0</v>
      </c>
      <c r="L57" s="519">
        <f t="shared" si="21"/>
        <v>0</v>
      </c>
      <c r="M57" s="505">
        <f t="shared" si="12"/>
        <v>618000</v>
      </c>
      <c r="N57" s="505">
        <f t="shared" si="14"/>
        <v>353000</v>
      </c>
    </row>
    <row r="58" spans="1:14" x14ac:dyDescent="0.25">
      <c r="A58" s="123" t="s">
        <v>263</v>
      </c>
      <c r="B58" s="31"/>
      <c r="C58" s="500"/>
      <c r="D58" s="500"/>
      <c r="E58" s="500"/>
      <c r="F58" s="500"/>
      <c r="G58" s="500"/>
      <c r="H58" s="500"/>
      <c r="I58" s="500"/>
      <c r="J58" s="500"/>
      <c r="K58" s="500"/>
      <c r="L58" s="500"/>
      <c r="M58" s="505">
        <f t="shared" si="12"/>
        <v>0</v>
      </c>
      <c r="N58" s="505">
        <f t="shared" si="14"/>
        <v>0</v>
      </c>
    </row>
    <row r="59" spans="1:14" x14ac:dyDescent="0.25">
      <c r="A59" s="123" t="s">
        <v>264</v>
      </c>
      <c r="B59" s="31"/>
      <c r="C59" s="500"/>
      <c r="D59" s="500"/>
      <c r="E59" s="500"/>
      <c r="F59" s="500"/>
      <c r="G59" s="500"/>
      <c r="H59" s="500"/>
      <c r="I59" s="500"/>
      <c r="J59" s="500"/>
      <c r="K59" s="500"/>
      <c r="L59" s="500"/>
      <c r="M59" s="505">
        <f t="shared" si="12"/>
        <v>0</v>
      </c>
      <c r="N59" s="505">
        <f t="shared" si="14"/>
        <v>0</v>
      </c>
    </row>
    <row r="60" spans="1:14" x14ac:dyDescent="0.25">
      <c r="A60" s="123" t="s">
        <v>265</v>
      </c>
      <c r="B60" s="31"/>
      <c r="C60" s="500"/>
      <c r="D60" s="500"/>
      <c r="E60" s="500"/>
      <c r="F60" s="500"/>
      <c r="G60" s="500"/>
      <c r="H60" s="500"/>
      <c r="I60" s="500"/>
      <c r="J60" s="500"/>
      <c r="K60" s="500"/>
      <c r="L60" s="500"/>
      <c r="M60" s="505">
        <f t="shared" si="12"/>
        <v>0</v>
      </c>
      <c r="N60" s="505">
        <f t="shared" si="14"/>
        <v>0</v>
      </c>
    </row>
    <row r="61" spans="1:14" ht="16.5" customHeight="1" x14ac:dyDescent="0.25">
      <c r="A61" s="123" t="s">
        <v>266</v>
      </c>
      <c r="B61" s="31"/>
      <c r="C61" s="500"/>
      <c r="D61" s="500">
        <v>5000</v>
      </c>
      <c r="E61" s="500"/>
      <c r="F61" s="500"/>
      <c r="G61" s="500"/>
      <c r="H61" s="500"/>
      <c r="I61" s="500"/>
      <c r="J61" s="500"/>
      <c r="K61" s="500"/>
      <c r="L61" s="500"/>
      <c r="M61" s="505">
        <f t="shared" si="12"/>
        <v>0</v>
      </c>
      <c r="N61" s="505">
        <f t="shared" si="14"/>
        <v>5000</v>
      </c>
    </row>
    <row r="62" spans="1:14" ht="18" customHeight="1" x14ac:dyDescent="0.25">
      <c r="A62" s="123" t="s">
        <v>637</v>
      </c>
      <c r="B62" s="31"/>
      <c r="C62" s="500">
        <v>5100</v>
      </c>
      <c r="D62" s="500">
        <v>24000</v>
      </c>
      <c r="E62" s="500"/>
      <c r="F62" s="500"/>
      <c r="G62" s="500"/>
      <c r="H62" s="500"/>
      <c r="I62" s="500">
        <v>20693</v>
      </c>
      <c r="J62" s="500">
        <v>24000</v>
      </c>
      <c r="K62" s="500"/>
      <c r="L62" s="500"/>
      <c r="M62" s="505">
        <f t="shared" si="12"/>
        <v>25793</v>
      </c>
      <c r="N62" s="505">
        <f t="shared" si="14"/>
        <v>48000</v>
      </c>
    </row>
    <row r="63" spans="1:14" ht="25.5" x14ac:dyDescent="0.25">
      <c r="A63" s="123" t="s">
        <v>268</v>
      </c>
      <c r="B63" s="31"/>
      <c r="C63" s="500">
        <v>37993</v>
      </c>
      <c r="D63" s="500"/>
      <c r="E63" s="500"/>
      <c r="F63" s="500"/>
      <c r="G63" s="500">
        <v>554214</v>
      </c>
      <c r="H63" s="500">
        <v>300000</v>
      </c>
      <c r="I63" s="500"/>
      <c r="J63" s="500"/>
      <c r="K63" s="500"/>
      <c r="L63" s="500"/>
      <c r="M63" s="505">
        <f t="shared" si="12"/>
        <v>592207</v>
      </c>
      <c r="N63" s="505">
        <f t="shared" si="14"/>
        <v>300000</v>
      </c>
    </row>
    <row r="64" spans="1:14" x14ac:dyDescent="0.25">
      <c r="A64" s="334" t="s">
        <v>148</v>
      </c>
      <c r="B64" s="496" t="s">
        <v>149</v>
      </c>
      <c r="C64" s="502">
        <f>SUM(C46,C50:C53,C57)</f>
        <v>545017</v>
      </c>
      <c r="D64" s="502">
        <f t="shared" ref="D64:L64" si="22">SUM(D46,D50:D53,D57)</f>
        <v>879000</v>
      </c>
      <c r="E64" s="502">
        <f t="shared" si="22"/>
        <v>2098732</v>
      </c>
      <c r="F64" s="502">
        <f t="shared" si="22"/>
        <v>2600000</v>
      </c>
      <c r="G64" s="502">
        <f t="shared" si="22"/>
        <v>1194575</v>
      </c>
      <c r="H64" s="502">
        <f t="shared" si="22"/>
        <v>300000</v>
      </c>
      <c r="I64" s="502">
        <f t="shared" si="22"/>
        <v>722203</v>
      </c>
      <c r="J64" s="502">
        <f t="shared" si="22"/>
        <v>584000</v>
      </c>
      <c r="K64" s="502">
        <f t="shared" si="22"/>
        <v>4272500</v>
      </c>
      <c r="L64" s="502">
        <f t="shared" si="22"/>
        <v>4000000</v>
      </c>
      <c r="M64" s="505">
        <f t="shared" si="12"/>
        <v>8833027</v>
      </c>
      <c r="N64" s="505">
        <f t="shared" si="14"/>
        <v>8363000</v>
      </c>
    </row>
    <row r="65" spans="1:14" ht="21" customHeight="1" x14ac:dyDescent="0.25">
      <c r="A65" s="510" t="s">
        <v>638</v>
      </c>
      <c r="B65" s="495" t="s">
        <v>153</v>
      </c>
      <c r="C65" s="500"/>
      <c r="D65" s="500"/>
      <c r="E65" s="500"/>
      <c r="F65" s="500"/>
      <c r="G65" s="500"/>
      <c r="H65" s="500"/>
      <c r="I65" s="500"/>
      <c r="J65" s="500"/>
      <c r="K65" s="500"/>
      <c r="L65" s="500"/>
      <c r="M65" s="505">
        <f t="shared" si="12"/>
        <v>0</v>
      </c>
      <c r="N65" s="505">
        <f t="shared" si="14"/>
        <v>0</v>
      </c>
    </row>
    <row r="66" spans="1:14" x14ac:dyDescent="0.25">
      <c r="A66" s="273" t="s">
        <v>639</v>
      </c>
      <c r="B66" s="495" t="s">
        <v>157</v>
      </c>
      <c r="C66" s="500"/>
      <c r="D66" s="500"/>
      <c r="E66" s="500"/>
      <c r="F66" s="500"/>
      <c r="G66" s="500"/>
      <c r="H66" s="500"/>
      <c r="I66" s="500"/>
      <c r="J66" s="500"/>
      <c r="K66" s="500"/>
      <c r="L66" s="500"/>
      <c r="M66" s="505">
        <f t="shared" si="12"/>
        <v>0</v>
      </c>
      <c r="N66" s="505">
        <f t="shared" si="14"/>
        <v>0</v>
      </c>
    </row>
    <row r="67" spans="1:14" ht="25.5" x14ac:dyDescent="0.25">
      <c r="A67" s="334" t="s">
        <v>640</v>
      </c>
      <c r="B67" s="496" t="s">
        <v>159</v>
      </c>
      <c r="C67" s="502">
        <f>SUM(C65:C66)</f>
        <v>0</v>
      </c>
      <c r="D67" s="502">
        <f t="shared" ref="D67:L67" si="23">SUM(D65:D66)</f>
        <v>0</v>
      </c>
      <c r="E67" s="502">
        <f t="shared" si="23"/>
        <v>0</v>
      </c>
      <c r="F67" s="502">
        <f t="shared" si="23"/>
        <v>0</v>
      </c>
      <c r="G67" s="502">
        <f t="shared" si="23"/>
        <v>0</v>
      </c>
      <c r="H67" s="502">
        <f t="shared" si="23"/>
        <v>0</v>
      </c>
      <c r="I67" s="502">
        <f t="shared" si="23"/>
        <v>0</v>
      </c>
      <c r="J67" s="502">
        <f t="shared" si="23"/>
        <v>0</v>
      </c>
      <c r="K67" s="502">
        <f t="shared" si="23"/>
        <v>0</v>
      </c>
      <c r="L67" s="502">
        <f t="shared" si="23"/>
        <v>0</v>
      </c>
      <c r="M67" s="505">
        <f t="shared" si="12"/>
        <v>0</v>
      </c>
      <c r="N67" s="505">
        <f t="shared" si="14"/>
        <v>0</v>
      </c>
    </row>
    <row r="68" spans="1:14" ht="25.5" x14ac:dyDescent="0.25">
      <c r="A68" s="517" t="s">
        <v>641</v>
      </c>
      <c r="B68" s="518" t="s">
        <v>163</v>
      </c>
      <c r="C68" s="519">
        <f t="shared" ref="C68:L68" si="24">SUM(C69:C70)</f>
        <v>184385</v>
      </c>
      <c r="D68" s="519">
        <f t="shared" si="24"/>
        <v>299430</v>
      </c>
      <c r="E68" s="519">
        <f t="shared" si="24"/>
        <v>149275</v>
      </c>
      <c r="F68" s="519">
        <f t="shared" si="24"/>
        <v>724140</v>
      </c>
      <c r="G68" s="519">
        <f t="shared" si="24"/>
        <v>502763</v>
      </c>
      <c r="H68" s="519">
        <f t="shared" si="24"/>
        <v>280800</v>
      </c>
      <c r="I68" s="519">
        <f t="shared" si="24"/>
        <v>222283</v>
      </c>
      <c r="J68" s="519">
        <f t="shared" si="24"/>
        <v>198180</v>
      </c>
      <c r="K68" s="519">
        <f t="shared" si="24"/>
        <v>0</v>
      </c>
      <c r="L68" s="519">
        <f t="shared" si="24"/>
        <v>0</v>
      </c>
      <c r="M68" s="505">
        <f t="shared" si="12"/>
        <v>1058706</v>
      </c>
      <c r="N68" s="505">
        <f t="shared" si="14"/>
        <v>1502550</v>
      </c>
    </row>
    <row r="69" spans="1:14" x14ac:dyDescent="0.25">
      <c r="A69" s="123" t="s">
        <v>269</v>
      </c>
      <c r="B69" s="495"/>
      <c r="C69" s="500"/>
      <c r="D69" s="500"/>
      <c r="E69" s="500"/>
      <c r="F69" s="500"/>
      <c r="G69" s="500"/>
      <c r="H69" s="500"/>
      <c r="I69" s="500"/>
      <c r="J69" s="500"/>
      <c r="K69" s="500"/>
      <c r="L69" s="500"/>
      <c r="M69" s="505">
        <f t="shared" si="12"/>
        <v>0</v>
      </c>
      <c r="N69" s="505">
        <f t="shared" si="14"/>
        <v>0</v>
      </c>
    </row>
    <row r="70" spans="1:14" x14ac:dyDescent="0.25">
      <c r="A70" s="123" t="s">
        <v>270</v>
      </c>
      <c r="B70" s="495"/>
      <c r="C70" s="500">
        <v>184385</v>
      </c>
      <c r="D70" s="500">
        <f>SUM(D36,D45,D64)*0.27</f>
        <v>299430</v>
      </c>
      <c r="E70" s="500">
        <v>149275</v>
      </c>
      <c r="F70" s="500">
        <f>SUM(F36,F45,F64)*0.27</f>
        <v>724140</v>
      </c>
      <c r="G70" s="500">
        <v>502763</v>
      </c>
      <c r="H70" s="500">
        <f>SUM(H36,H45,H64)*0.27</f>
        <v>280800</v>
      </c>
      <c r="I70" s="500">
        <v>222283</v>
      </c>
      <c r="J70" s="500">
        <f>SUM(J36,J45,J64)*0.27</f>
        <v>198180</v>
      </c>
      <c r="K70" s="500"/>
      <c r="L70" s="500"/>
      <c r="M70" s="505">
        <f t="shared" si="12"/>
        <v>1058706</v>
      </c>
      <c r="N70" s="505">
        <f t="shared" si="14"/>
        <v>1502550</v>
      </c>
    </row>
    <row r="71" spans="1:14" ht="27.75" customHeight="1" x14ac:dyDescent="0.25">
      <c r="A71" s="517" t="s">
        <v>166</v>
      </c>
      <c r="B71" s="518" t="s">
        <v>167</v>
      </c>
      <c r="C71" s="520"/>
      <c r="D71" s="520"/>
      <c r="E71" s="520"/>
      <c r="F71" s="520"/>
      <c r="G71" s="520"/>
      <c r="H71" s="520"/>
      <c r="I71" s="520"/>
      <c r="J71" s="520"/>
      <c r="K71" s="520"/>
      <c r="L71" s="520"/>
      <c r="M71" s="505">
        <f t="shared" si="12"/>
        <v>0</v>
      </c>
      <c r="N71" s="505">
        <f t="shared" si="14"/>
        <v>0</v>
      </c>
    </row>
    <row r="72" spans="1:14" ht="15.75" customHeight="1" x14ac:dyDescent="0.25">
      <c r="A72" s="517" t="s">
        <v>170</v>
      </c>
      <c r="B72" s="518" t="s">
        <v>171</v>
      </c>
      <c r="C72" s="520"/>
      <c r="D72" s="520"/>
      <c r="E72" s="520"/>
      <c r="F72" s="520"/>
      <c r="G72" s="520"/>
      <c r="H72" s="520"/>
      <c r="I72" s="520"/>
      <c r="J72" s="520"/>
      <c r="K72" s="520"/>
      <c r="L72" s="520"/>
      <c r="M72" s="505">
        <f t="shared" si="12"/>
        <v>0</v>
      </c>
      <c r="N72" s="505">
        <f t="shared" si="14"/>
        <v>0</v>
      </c>
    </row>
    <row r="73" spans="1:14" ht="18" customHeight="1" x14ac:dyDescent="0.25">
      <c r="A73" s="517" t="s">
        <v>174</v>
      </c>
      <c r="B73" s="518" t="s">
        <v>175</v>
      </c>
      <c r="C73" s="519">
        <f>SUM(C74:C76)</f>
        <v>0</v>
      </c>
      <c r="D73" s="519"/>
      <c r="E73" s="519">
        <f t="shared" ref="E73:G73" si="25">SUM(E74:E76)</f>
        <v>0</v>
      </c>
      <c r="F73" s="519"/>
      <c r="G73" s="519">
        <f t="shared" si="25"/>
        <v>0</v>
      </c>
      <c r="H73" s="519"/>
      <c r="I73" s="519">
        <f>SUM(I74:I76)</f>
        <v>0</v>
      </c>
      <c r="J73" s="519"/>
      <c r="K73" s="519">
        <f>SUM(K74:K76)</f>
        <v>0</v>
      </c>
      <c r="L73" s="519"/>
      <c r="M73" s="505">
        <f t="shared" si="12"/>
        <v>0</v>
      </c>
      <c r="N73" s="505">
        <f t="shared" si="14"/>
        <v>0</v>
      </c>
    </row>
    <row r="74" spans="1:14" ht="18" customHeight="1" x14ac:dyDescent="0.25">
      <c r="A74" s="123" t="s">
        <v>271</v>
      </c>
      <c r="B74" s="495"/>
      <c r="C74" s="500"/>
      <c r="D74" s="500"/>
      <c r="E74" s="500"/>
      <c r="F74" s="500"/>
      <c r="G74" s="500"/>
      <c r="H74" s="500"/>
      <c r="I74" s="500"/>
      <c r="J74" s="500"/>
      <c r="K74" s="500"/>
      <c r="L74" s="500"/>
      <c r="M74" s="505">
        <f t="shared" si="12"/>
        <v>0</v>
      </c>
      <c r="N74" s="505">
        <f t="shared" si="14"/>
        <v>0</v>
      </c>
    </row>
    <row r="75" spans="1:14" ht="17.25" customHeight="1" x14ac:dyDescent="0.25">
      <c r="A75" s="123" t="s">
        <v>272</v>
      </c>
      <c r="B75" s="495"/>
      <c r="C75" s="500"/>
      <c r="D75" s="500"/>
      <c r="E75" s="500"/>
      <c r="F75" s="500"/>
      <c r="G75" s="500"/>
      <c r="H75" s="500"/>
      <c r="I75" s="500"/>
      <c r="J75" s="500"/>
      <c r="K75" s="500"/>
      <c r="L75" s="500"/>
      <c r="M75" s="505">
        <f t="shared" si="12"/>
        <v>0</v>
      </c>
      <c r="N75" s="505">
        <f t="shared" si="14"/>
        <v>0</v>
      </c>
    </row>
    <row r="76" spans="1:14" ht="22.5" customHeight="1" x14ac:dyDescent="0.25">
      <c r="A76" s="123" t="s">
        <v>174</v>
      </c>
      <c r="B76" s="495"/>
      <c r="C76" s="500"/>
      <c r="D76" s="500"/>
      <c r="E76" s="500"/>
      <c r="F76" s="500"/>
      <c r="G76" s="500"/>
      <c r="H76" s="500"/>
      <c r="I76" s="500"/>
      <c r="J76" s="500"/>
      <c r="K76" s="500"/>
      <c r="L76" s="500"/>
      <c r="M76" s="505">
        <f t="shared" si="12"/>
        <v>0</v>
      </c>
      <c r="N76" s="505">
        <f t="shared" si="14"/>
        <v>0</v>
      </c>
    </row>
    <row r="77" spans="1:14" ht="28.5" customHeight="1" x14ac:dyDescent="0.25">
      <c r="A77" s="334" t="s">
        <v>178</v>
      </c>
      <c r="B77" s="496" t="s">
        <v>179</v>
      </c>
      <c r="C77" s="502">
        <f t="shared" ref="C77" si="26">SUM(C73,C68,C71,C72)</f>
        <v>184385</v>
      </c>
      <c r="D77" s="502">
        <f t="shared" ref="D77:L77" si="27">SUM(D73,D68,D71,D72)</f>
        <v>299430</v>
      </c>
      <c r="E77" s="502">
        <f t="shared" si="27"/>
        <v>149275</v>
      </c>
      <c r="F77" s="502">
        <f t="shared" si="27"/>
        <v>724140</v>
      </c>
      <c r="G77" s="502">
        <f t="shared" si="27"/>
        <v>502763</v>
      </c>
      <c r="H77" s="502">
        <f t="shared" si="27"/>
        <v>280800</v>
      </c>
      <c r="I77" s="502">
        <f t="shared" si="27"/>
        <v>222283</v>
      </c>
      <c r="J77" s="502">
        <f t="shared" si="27"/>
        <v>198180</v>
      </c>
      <c r="K77" s="502">
        <f t="shared" si="27"/>
        <v>0</v>
      </c>
      <c r="L77" s="502">
        <f t="shared" si="27"/>
        <v>0</v>
      </c>
      <c r="M77" s="505">
        <f t="shared" si="12"/>
        <v>1058706</v>
      </c>
      <c r="N77" s="505">
        <f t="shared" si="14"/>
        <v>1502550</v>
      </c>
    </row>
    <row r="78" spans="1:14" ht="30" customHeight="1" x14ac:dyDescent="0.25">
      <c r="A78" s="511" t="s">
        <v>180</v>
      </c>
      <c r="B78" s="512" t="s">
        <v>181</v>
      </c>
      <c r="C78" s="513">
        <f t="shared" ref="C78" si="28">SUM(C77,C67,C64,C45,C36)</f>
        <v>941691</v>
      </c>
      <c r="D78" s="513">
        <f t="shared" ref="D78:L78" si="29">SUM(D77,D67,D64,D45,D36)</f>
        <v>1408430</v>
      </c>
      <c r="E78" s="513">
        <f t="shared" si="29"/>
        <v>2336911</v>
      </c>
      <c r="F78" s="513">
        <f t="shared" si="29"/>
        <v>3406140</v>
      </c>
      <c r="G78" s="513">
        <f t="shared" si="29"/>
        <v>2457560</v>
      </c>
      <c r="H78" s="513">
        <f t="shared" si="29"/>
        <v>1320800</v>
      </c>
      <c r="I78" s="513">
        <f t="shared" si="29"/>
        <v>1150758</v>
      </c>
      <c r="J78" s="513">
        <f t="shared" si="29"/>
        <v>932180</v>
      </c>
      <c r="K78" s="513">
        <f t="shared" si="29"/>
        <v>4272500</v>
      </c>
      <c r="L78" s="513">
        <f t="shared" si="29"/>
        <v>4000000</v>
      </c>
      <c r="M78" s="505">
        <f t="shared" si="12"/>
        <v>11159420</v>
      </c>
      <c r="N78" s="505">
        <f t="shared" si="14"/>
        <v>11067550</v>
      </c>
    </row>
    <row r="79" spans="1:14" ht="33" customHeight="1" x14ac:dyDescent="0.25">
      <c r="A79" s="961" t="s">
        <v>616</v>
      </c>
      <c r="B79" s="961"/>
      <c r="C79" s="503">
        <f t="shared" ref="C79:L79" si="30">C78+C21+C20</f>
        <v>4046059</v>
      </c>
      <c r="D79" s="503">
        <f t="shared" si="30"/>
        <v>5221275</v>
      </c>
      <c r="E79" s="503">
        <f t="shared" si="30"/>
        <v>5374867</v>
      </c>
      <c r="F79" s="503">
        <f t="shared" si="30"/>
        <v>6535426</v>
      </c>
      <c r="G79" s="503">
        <f t="shared" si="30"/>
        <v>6248325</v>
      </c>
      <c r="H79" s="503">
        <f t="shared" si="30"/>
        <v>5124836</v>
      </c>
      <c r="I79" s="503">
        <f t="shared" si="30"/>
        <v>1150758</v>
      </c>
      <c r="J79" s="503">
        <f t="shared" si="30"/>
        <v>932180</v>
      </c>
      <c r="K79" s="503">
        <f t="shared" si="30"/>
        <v>4272500</v>
      </c>
      <c r="L79" s="503">
        <f t="shared" si="30"/>
        <v>4000000</v>
      </c>
      <c r="M79" s="507">
        <f t="shared" si="12"/>
        <v>21092509</v>
      </c>
      <c r="N79" s="507">
        <f t="shared" si="14"/>
        <v>21813717</v>
      </c>
    </row>
  </sheetData>
  <mergeCells count="11">
    <mergeCell ref="K5:L5"/>
    <mergeCell ref="M5:N5"/>
    <mergeCell ref="A79:B79"/>
    <mergeCell ref="A1:G1"/>
    <mergeCell ref="A3:H3"/>
    <mergeCell ref="A5:A6"/>
    <mergeCell ref="B5:B6"/>
    <mergeCell ref="C5:D5"/>
    <mergeCell ref="E5:F5"/>
    <mergeCell ref="G5:H5"/>
    <mergeCell ref="I5:J5"/>
  </mergeCells>
  <pageMargins left="0.23622047244094491" right="0.23622047244094491" top="0.74803149606299213" bottom="0.74803149606299213" header="0.31496062992125984" footer="0.31496062992125984"/>
  <pageSetup paperSize="8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22"/>
  <sheetViews>
    <sheetView workbookViewId="0">
      <selection activeCell="K15" sqref="K15"/>
    </sheetView>
  </sheetViews>
  <sheetFormatPr defaultRowHeight="15" x14ac:dyDescent="0.25"/>
  <cols>
    <col min="1" max="1" width="19.5703125" customWidth="1"/>
    <col min="2" max="2" width="14.140625" customWidth="1"/>
    <col min="3" max="3" width="20.5703125" customWidth="1"/>
    <col min="4" max="4" width="21.140625" customWidth="1"/>
  </cols>
  <sheetData>
    <row r="1" spans="1:8" s="259" customFormat="1" ht="15.75" x14ac:dyDescent="0.25">
      <c r="A1" s="895" t="s">
        <v>751</v>
      </c>
      <c r="B1" s="895"/>
      <c r="C1" s="895"/>
      <c r="D1" s="895"/>
      <c r="E1" s="895"/>
      <c r="F1" s="895"/>
      <c r="G1" s="895"/>
    </row>
    <row r="2" spans="1:8" s="259" customFormat="1" x14ac:dyDescent="0.25"/>
    <row r="3" spans="1:8" ht="15" customHeight="1" x14ac:dyDescent="0.25">
      <c r="A3" s="931" t="s">
        <v>693</v>
      </c>
      <c r="B3" s="931"/>
      <c r="C3" s="931"/>
      <c r="D3" s="931"/>
      <c r="E3" s="931"/>
      <c r="F3" s="591"/>
      <c r="G3" s="591"/>
      <c r="H3" s="591"/>
    </row>
    <row r="4" spans="1:8" ht="15.75" thickBot="1" x14ac:dyDescent="0.3"/>
    <row r="5" spans="1:8" ht="30" customHeight="1" x14ac:dyDescent="0.25">
      <c r="A5" s="939" t="s">
        <v>68</v>
      </c>
      <c r="B5" s="965" t="s">
        <v>67</v>
      </c>
      <c r="C5" s="934" t="s">
        <v>694</v>
      </c>
      <c r="D5" s="967"/>
    </row>
    <row r="6" spans="1:8" s="259" customFormat="1" x14ac:dyDescent="0.25">
      <c r="A6" s="964"/>
      <c r="B6" s="966"/>
      <c r="C6" s="343" t="s">
        <v>668</v>
      </c>
      <c r="D6" s="730" t="s">
        <v>675</v>
      </c>
    </row>
    <row r="7" spans="1:8" ht="36" customHeight="1" x14ac:dyDescent="0.25">
      <c r="A7" s="160" t="s">
        <v>662</v>
      </c>
      <c r="B7" s="111" t="s">
        <v>72</v>
      </c>
      <c r="C7" s="28">
        <v>4605615</v>
      </c>
      <c r="D7" s="344">
        <v>4890720</v>
      </c>
    </row>
    <row r="8" spans="1:8" ht="30.75" customHeight="1" x14ac:dyDescent="0.25">
      <c r="A8" s="160" t="s">
        <v>539</v>
      </c>
      <c r="B8" s="111" t="s">
        <v>280</v>
      </c>
      <c r="C8" s="28"/>
      <c r="D8" s="191"/>
    </row>
    <row r="9" spans="1:8" ht="21" customHeight="1" x14ac:dyDescent="0.25">
      <c r="A9" s="160" t="s">
        <v>282</v>
      </c>
      <c r="B9" s="111" t="s">
        <v>283</v>
      </c>
      <c r="C9" s="28"/>
      <c r="D9" s="191"/>
    </row>
    <row r="10" spans="1:8" ht="18.75" customHeight="1" x14ac:dyDescent="0.25">
      <c r="A10" s="160" t="s">
        <v>74</v>
      </c>
      <c r="B10" s="111" t="s">
        <v>75</v>
      </c>
      <c r="C10" s="28"/>
      <c r="D10" s="191"/>
    </row>
    <row r="11" spans="1:8" ht="27" customHeight="1" x14ac:dyDescent="0.25">
      <c r="A11" s="160" t="s">
        <v>76</v>
      </c>
      <c r="B11" s="111" t="s">
        <v>77</v>
      </c>
      <c r="C11" s="28"/>
      <c r="D11" s="191"/>
    </row>
    <row r="12" spans="1:8" ht="27" customHeight="1" x14ac:dyDescent="0.25">
      <c r="A12" s="160" t="s">
        <v>78</v>
      </c>
      <c r="B12" s="111" t="s">
        <v>79</v>
      </c>
      <c r="C12" s="28"/>
      <c r="D12" s="191"/>
    </row>
    <row r="13" spans="1:8" ht="29.25" customHeight="1" x14ac:dyDescent="0.25">
      <c r="A13" s="160" t="s">
        <v>80</v>
      </c>
      <c r="B13" s="111" t="s">
        <v>81</v>
      </c>
      <c r="C13" s="28"/>
      <c r="D13" s="191"/>
    </row>
    <row r="14" spans="1:8" ht="33.75" customHeight="1" x14ac:dyDescent="0.25">
      <c r="A14" s="160" t="s">
        <v>82</v>
      </c>
      <c r="B14" s="111" t="s">
        <v>83</v>
      </c>
      <c r="C14" s="28"/>
      <c r="D14" s="191"/>
    </row>
    <row r="15" spans="1:8" ht="30" x14ac:dyDescent="0.25">
      <c r="A15" s="788" t="s">
        <v>86</v>
      </c>
      <c r="B15" s="789" t="s">
        <v>87</v>
      </c>
      <c r="C15" s="790">
        <f>SUM(C7:C14)</f>
        <v>4605615</v>
      </c>
      <c r="D15" s="791">
        <f>SUM(D7:D14)</f>
        <v>4890720</v>
      </c>
    </row>
    <row r="16" spans="1:8" ht="29.25" customHeight="1" x14ac:dyDescent="0.25">
      <c r="A16" s="160" t="s">
        <v>88</v>
      </c>
      <c r="B16" s="111" t="s">
        <v>89</v>
      </c>
      <c r="C16" s="28"/>
      <c r="D16" s="29"/>
    </row>
    <row r="17" spans="1:4" ht="27" customHeight="1" x14ac:dyDescent="0.25">
      <c r="A17" s="160" t="s">
        <v>90</v>
      </c>
      <c r="B17" s="111" t="s">
        <v>91</v>
      </c>
      <c r="C17" s="28"/>
      <c r="D17" s="29"/>
    </row>
    <row r="18" spans="1:4" ht="30" customHeight="1" x14ac:dyDescent="0.25">
      <c r="A18" s="160" t="s">
        <v>92</v>
      </c>
      <c r="B18" s="111" t="s">
        <v>93</v>
      </c>
      <c r="C18" s="28"/>
      <c r="D18" s="29"/>
    </row>
    <row r="19" spans="1:4" ht="28.5" customHeight="1" x14ac:dyDescent="0.25">
      <c r="A19" s="161" t="s">
        <v>96</v>
      </c>
      <c r="B19" s="159" t="s">
        <v>97</v>
      </c>
      <c r="C19" s="178">
        <f t="shared" ref="C19:D19" si="0">SUM(C16:C18)</f>
        <v>0</v>
      </c>
      <c r="D19" s="345">
        <f t="shared" si="0"/>
        <v>0</v>
      </c>
    </row>
    <row r="20" spans="1:4" ht="24" customHeight="1" x14ac:dyDescent="0.25">
      <c r="A20" s="792" t="s">
        <v>98</v>
      </c>
      <c r="B20" s="781" t="s">
        <v>99</v>
      </c>
      <c r="C20" s="782">
        <f t="shared" ref="C20:D20" si="1">C19+C15</f>
        <v>4605615</v>
      </c>
      <c r="D20" s="783">
        <f t="shared" si="1"/>
        <v>4890720</v>
      </c>
    </row>
    <row r="21" spans="1:4" ht="45.75" thickBot="1" x14ac:dyDescent="0.3">
      <c r="A21" s="784" t="s">
        <v>644</v>
      </c>
      <c r="B21" s="785" t="s">
        <v>101</v>
      </c>
      <c r="C21" s="786">
        <f>C20*0.195</f>
        <v>898094.92500000005</v>
      </c>
      <c r="D21" s="787">
        <f>D20*0.175</f>
        <v>855876</v>
      </c>
    </row>
    <row r="22" spans="1:4" ht="39.75" customHeight="1" thickBot="1" x14ac:dyDescent="0.35">
      <c r="A22" s="968" t="s">
        <v>230</v>
      </c>
      <c r="B22" s="969"/>
      <c r="C22" s="793">
        <f>SUM(C20:C21)</f>
        <v>5503709.9249999998</v>
      </c>
      <c r="D22" s="794">
        <f>SUM(D20:D21)</f>
        <v>5746596</v>
      </c>
    </row>
  </sheetData>
  <mergeCells count="6">
    <mergeCell ref="A5:A6"/>
    <mergeCell ref="B5:B6"/>
    <mergeCell ref="C5:D5"/>
    <mergeCell ref="A22:B22"/>
    <mergeCell ref="A1:G1"/>
    <mergeCell ref="A3:E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G18"/>
  <sheetViews>
    <sheetView workbookViewId="0">
      <selection sqref="A1:G1"/>
    </sheetView>
  </sheetViews>
  <sheetFormatPr defaultRowHeight="15" x14ac:dyDescent="0.25"/>
  <cols>
    <col min="2" max="2" width="42.140625" customWidth="1"/>
    <col min="3" max="3" width="26.5703125" customWidth="1"/>
    <col min="4" max="4" width="28.7109375" customWidth="1"/>
  </cols>
  <sheetData>
    <row r="1" spans="1:7" ht="15" customHeight="1" x14ac:dyDescent="0.25">
      <c r="A1" s="895" t="s">
        <v>752</v>
      </c>
      <c r="B1" s="895"/>
      <c r="C1" s="895"/>
      <c r="D1" s="895"/>
      <c r="E1" s="895"/>
      <c r="F1" s="895"/>
      <c r="G1" s="895"/>
    </row>
    <row r="4" spans="1:7" x14ac:dyDescent="0.25">
      <c r="A4" s="149"/>
      <c r="B4" s="149"/>
      <c r="C4" s="149"/>
    </row>
    <row r="5" spans="1:7" x14ac:dyDescent="0.25">
      <c r="A5" s="970" t="s">
        <v>677</v>
      </c>
      <c r="B5" s="970"/>
      <c r="C5" s="970"/>
    </row>
    <row r="6" spans="1:7" x14ac:dyDescent="0.25">
      <c r="A6" s="149"/>
      <c r="B6" s="149"/>
      <c r="C6" s="149"/>
    </row>
    <row r="7" spans="1:7" ht="15.75" thickBot="1" x14ac:dyDescent="0.3">
      <c r="A7" s="149"/>
      <c r="B7" s="149"/>
      <c r="C7" s="149"/>
      <c r="D7" s="113" t="s">
        <v>388</v>
      </c>
    </row>
    <row r="8" spans="1:7" ht="42" customHeight="1" x14ac:dyDescent="0.25">
      <c r="A8" s="172" t="s">
        <v>275</v>
      </c>
      <c r="B8" s="173" t="s">
        <v>410</v>
      </c>
      <c r="C8" s="173" t="s">
        <v>634</v>
      </c>
      <c r="D8" s="347" t="s">
        <v>669</v>
      </c>
    </row>
    <row r="9" spans="1:7" ht="15" customHeight="1" x14ac:dyDescent="0.25">
      <c r="A9" s="851"/>
      <c r="B9" s="852"/>
      <c r="C9" s="853"/>
      <c r="D9" s="854"/>
    </row>
    <row r="10" spans="1:7" ht="40.5" customHeight="1" x14ac:dyDescent="0.25">
      <c r="A10" s="836" t="s">
        <v>415</v>
      </c>
      <c r="B10" s="762" t="s">
        <v>547</v>
      </c>
      <c r="C10" s="763">
        <f>SUM(C11)</f>
        <v>150000</v>
      </c>
      <c r="D10" s="763">
        <f>SUM(D11)</f>
        <v>0</v>
      </c>
    </row>
    <row r="11" spans="1:7" s="194" customFormat="1" ht="28.5" customHeight="1" x14ac:dyDescent="0.25">
      <c r="A11" s="843"/>
      <c r="B11" s="37" t="s">
        <v>738</v>
      </c>
      <c r="C11" s="200">
        <v>150000</v>
      </c>
      <c r="D11" s="348"/>
    </row>
    <row r="12" spans="1:7" ht="30" x14ac:dyDescent="0.25">
      <c r="A12" s="761" t="s">
        <v>416</v>
      </c>
      <c r="B12" s="762" t="s">
        <v>548</v>
      </c>
      <c r="C12" s="763">
        <f>C13+C16</f>
        <v>3704811</v>
      </c>
      <c r="D12" s="764">
        <f t="shared" ref="D12" si="0">C12</f>
        <v>3704811</v>
      </c>
    </row>
    <row r="13" spans="1:7" x14ac:dyDescent="0.25">
      <c r="A13" s="841" t="s">
        <v>581</v>
      </c>
      <c r="B13" s="553" t="s">
        <v>442</v>
      </c>
      <c r="C13" s="759">
        <f>SUM(C14:C15)</f>
        <v>3554811</v>
      </c>
      <c r="D13" s="760">
        <f>SUM(D14:D15)</f>
        <v>3554811</v>
      </c>
    </row>
    <row r="14" spans="1:7" x14ac:dyDescent="0.25">
      <c r="A14" s="175"/>
      <c r="B14" s="111" t="s">
        <v>545</v>
      </c>
      <c r="C14" s="200">
        <v>431550</v>
      </c>
      <c r="D14" s="348">
        <v>431550</v>
      </c>
    </row>
    <row r="15" spans="1:7" s="194" customFormat="1" x14ac:dyDescent="0.25">
      <c r="A15" s="175"/>
      <c r="B15" s="111" t="s">
        <v>546</v>
      </c>
      <c r="C15" s="200">
        <v>3123261</v>
      </c>
      <c r="D15" s="348">
        <v>3123261</v>
      </c>
    </row>
    <row r="16" spans="1:7" s="259" customFormat="1" ht="26.25" x14ac:dyDescent="0.25">
      <c r="A16" s="842" t="s">
        <v>582</v>
      </c>
      <c r="B16" s="756" t="s">
        <v>580</v>
      </c>
      <c r="C16" s="757">
        <f>C17</f>
        <v>150000</v>
      </c>
      <c r="D16" s="758">
        <f>D17</f>
        <v>150000</v>
      </c>
    </row>
    <row r="17" spans="1:4" s="259" customFormat="1" ht="15.75" thickBot="1" x14ac:dyDescent="0.3">
      <c r="A17" s="848">
        <v>1</v>
      </c>
      <c r="B17" s="773" t="s">
        <v>439</v>
      </c>
      <c r="C17" s="849">
        <v>150000</v>
      </c>
      <c r="D17" s="850">
        <v>150000</v>
      </c>
    </row>
    <row r="18" spans="1:4" ht="30" customHeight="1" thickTop="1" x14ac:dyDescent="0.25">
      <c r="A18" s="844" t="s">
        <v>419</v>
      </c>
      <c r="B18" s="845" t="s">
        <v>664</v>
      </c>
      <c r="C18" s="846">
        <f>C10+C12</f>
        <v>3854811</v>
      </c>
      <c r="D18" s="847">
        <f>D10+D12</f>
        <v>3704811</v>
      </c>
    </row>
  </sheetData>
  <mergeCells count="2">
    <mergeCell ref="A1:G1"/>
    <mergeCell ref="A5:C5"/>
  </mergeCells>
  <pageMargins left="0.7" right="0.7" top="0.75" bottom="0.75" header="0.3" footer="0.3"/>
  <pageSetup paperSize="9" scale="6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G15"/>
  <sheetViews>
    <sheetView workbookViewId="0">
      <selection activeCell="E12" sqref="E12"/>
    </sheetView>
  </sheetViews>
  <sheetFormatPr defaultRowHeight="15" x14ac:dyDescent="0.25"/>
  <cols>
    <col min="1" max="1" width="8.42578125" customWidth="1"/>
    <col min="2" max="2" width="34.7109375" customWidth="1"/>
    <col min="3" max="3" width="25" customWidth="1"/>
    <col min="4" max="4" width="22.28515625" customWidth="1"/>
  </cols>
  <sheetData>
    <row r="1" spans="1:7" ht="15" customHeight="1" x14ac:dyDescent="0.25">
      <c r="A1" s="933" t="s">
        <v>753</v>
      </c>
      <c r="B1" s="933"/>
      <c r="C1" s="933"/>
      <c r="D1" s="585"/>
      <c r="E1" s="585"/>
      <c r="F1" s="585"/>
      <c r="G1" s="585"/>
    </row>
    <row r="3" spans="1:7" ht="27.75" customHeight="1" x14ac:dyDescent="0.25">
      <c r="A3" s="973" t="s">
        <v>700</v>
      </c>
      <c r="B3" s="973"/>
      <c r="C3" s="973"/>
      <c r="D3" s="973"/>
    </row>
    <row r="4" spans="1:7" s="149" customFormat="1" ht="27.75" customHeight="1" x14ac:dyDescent="0.25">
      <c r="A4" s="170"/>
      <c r="B4" s="170"/>
      <c r="C4" s="170"/>
      <c r="D4" s="170"/>
    </row>
    <row r="5" spans="1:7" ht="15.75" thickBot="1" x14ac:dyDescent="0.3">
      <c r="A5" s="155"/>
      <c r="B5" s="155"/>
      <c r="C5" s="171"/>
      <c r="D5" s="171" t="s">
        <v>388</v>
      </c>
    </row>
    <row r="6" spans="1:7" ht="30" x14ac:dyDescent="0.25">
      <c r="A6" s="166" t="s">
        <v>275</v>
      </c>
      <c r="B6" s="778" t="s">
        <v>436</v>
      </c>
      <c r="C6" s="769" t="s">
        <v>668</v>
      </c>
      <c r="D6" s="346" t="s">
        <v>669</v>
      </c>
    </row>
    <row r="7" spans="1:7" ht="39" customHeight="1" x14ac:dyDescent="0.25">
      <c r="A7" s="766" t="s">
        <v>437</v>
      </c>
      <c r="B7" s="167" t="s">
        <v>438</v>
      </c>
      <c r="C7" s="776">
        <f>SUM(C8:C14)</f>
        <v>14520873</v>
      </c>
      <c r="D7" s="777">
        <f>SUM(D8:D14)</f>
        <v>14900000</v>
      </c>
    </row>
    <row r="8" spans="1:7" ht="49.5" customHeight="1" x14ac:dyDescent="0.25">
      <c r="A8" s="767" t="s">
        <v>415</v>
      </c>
      <c r="B8" s="168" t="s">
        <v>542</v>
      </c>
      <c r="C8" s="770">
        <v>3133516</v>
      </c>
      <c r="D8" s="765">
        <v>2500000</v>
      </c>
    </row>
    <row r="9" spans="1:7" ht="32.25" customHeight="1" x14ac:dyDescent="0.25">
      <c r="A9" s="768" t="s">
        <v>416</v>
      </c>
      <c r="B9" s="169" t="s">
        <v>543</v>
      </c>
      <c r="C9" s="771">
        <v>2000000</v>
      </c>
      <c r="D9" s="765">
        <v>2100000</v>
      </c>
    </row>
    <row r="10" spans="1:7" ht="36" customHeight="1" x14ac:dyDescent="0.25">
      <c r="A10" s="768" t="s">
        <v>417</v>
      </c>
      <c r="B10" s="169" t="s">
        <v>661</v>
      </c>
      <c r="C10" s="771">
        <v>7500000</v>
      </c>
      <c r="D10" s="765">
        <v>7100000</v>
      </c>
    </row>
    <row r="11" spans="1:7" ht="34.5" customHeight="1" x14ac:dyDescent="0.25">
      <c r="A11" s="768" t="s">
        <v>418</v>
      </c>
      <c r="B11" s="169" t="s">
        <v>701</v>
      </c>
      <c r="C11" s="771">
        <v>395000</v>
      </c>
      <c r="D11" s="765">
        <v>400000</v>
      </c>
    </row>
    <row r="12" spans="1:7" s="259" customFormat="1" ht="34.5" customHeight="1" x14ac:dyDescent="0.25">
      <c r="A12" s="865" t="s">
        <v>412</v>
      </c>
      <c r="B12" s="866" t="s">
        <v>544</v>
      </c>
      <c r="C12" s="867">
        <v>275000</v>
      </c>
      <c r="D12" s="868">
        <v>300000</v>
      </c>
    </row>
    <row r="13" spans="1:7" s="259" customFormat="1" ht="34.5" customHeight="1" x14ac:dyDescent="0.25">
      <c r="A13" s="865" t="s">
        <v>413</v>
      </c>
      <c r="B13" s="866" t="s">
        <v>702</v>
      </c>
      <c r="C13" s="867">
        <v>300000</v>
      </c>
      <c r="D13" s="868">
        <v>1500000</v>
      </c>
    </row>
    <row r="14" spans="1:7" ht="30" customHeight="1" thickBot="1" x14ac:dyDescent="0.3">
      <c r="A14" s="772">
        <v>7</v>
      </c>
      <c r="B14" s="773" t="s">
        <v>703</v>
      </c>
      <c r="C14" s="774">
        <v>917357</v>
      </c>
      <c r="D14" s="775">
        <v>1000000</v>
      </c>
    </row>
    <row r="15" spans="1:7" ht="33.75" customHeight="1" thickTop="1" thickBot="1" x14ac:dyDescent="0.3">
      <c r="A15" s="971" t="s">
        <v>440</v>
      </c>
      <c r="B15" s="972"/>
      <c r="C15" s="779">
        <f>C7</f>
        <v>14520873</v>
      </c>
      <c r="D15" s="780">
        <f>D7</f>
        <v>14900000</v>
      </c>
    </row>
  </sheetData>
  <mergeCells count="3">
    <mergeCell ref="A15:B15"/>
    <mergeCell ref="A3:D3"/>
    <mergeCell ref="A1:C1"/>
  </mergeCells>
  <pageMargins left="0.7" right="0.7" top="0.75" bottom="0.75" header="0.3" footer="0.3"/>
  <pageSetup paperSize="9" scale="9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39"/>
  <sheetViews>
    <sheetView view="pageBreakPreview" topLeftCell="A19" zoomScale="113" zoomScaleSheetLayoutView="100" workbookViewId="0">
      <selection activeCell="B4" sqref="B4"/>
    </sheetView>
  </sheetViews>
  <sheetFormatPr defaultRowHeight="15" x14ac:dyDescent="0.25"/>
  <cols>
    <col min="1" max="1" width="38.140625" customWidth="1"/>
    <col min="2" max="2" width="9.5703125" customWidth="1"/>
    <col min="3" max="3" width="20.85546875" customWidth="1"/>
    <col min="4" max="4" width="20.140625" customWidth="1"/>
    <col min="5" max="5" width="32.28515625" customWidth="1"/>
    <col min="6" max="6" width="28.42578125" customWidth="1"/>
    <col min="7" max="7" width="14.5703125" customWidth="1"/>
    <col min="8" max="8" width="23.7109375" customWidth="1"/>
  </cols>
  <sheetData>
    <row r="1" spans="1:7" s="149" customFormat="1" ht="15" customHeight="1" x14ac:dyDescent="0.25">
      <c r="A1" s="895" t="s">
        <v>754</v>
      </c>
      <c r="B1" s="895"/>
      <c r="C1" s="895"/>
      <c r="D1" s="895"/>
      <c r="E1" s="895"/>
      <c r="F1" s="895"/>
      <c r="G1" s="895"/>
    </row>
    <row r="2" spans="1:7" s="149" customFormat="1" x14ac:dyDescent="0.25">
      <c r="A2" s="100"/>
      <c r="B2" s="100"/>
    </row>
    <row r="3" spans="1:7" s="149" customFormat="1" ht="15" customHeight="1" x14ac:dyDescent="0.25">
      <c r="A3" s="974" t="s">
        <v>683</v>
      </c>
      <c r="B3" s="974"/>
      <c r="C3" s="974"/>
      <c r="D3" s="974"/>
      <c r="E3" s="591"/>
      <c r="F3" s="591"/>
      <c r="G3" s="591"/>
    </row>
    <row r="4" spans="1:7" s="149" customFormat="1" x14ac:dyDescent="0.25">
      <c r="A4" s="591"/>
      <c r="B4" s="591"/>
      <c r="C4" s="591"/>
      <c r="D4" s="591"/>
      <c r="E4" s="591"/>
      <c r="F4" s="591"/>
      <c r="G4" s="591"/>
    </row>
    <row r="5" spans="1:7" s="149" customFormat="1" ht="15.75" thickBot="1" x14ac:dyDescent="0.3"/>
    <row r="6" spans="1:7" ht="31.5" x14ac:dyDescent="0.25">
      <c r="A6" s="718" t="s">
        <v>68</v>
      </c>
      <c r="B6" s="707" t="s">
        <v>67</v>
      </c>
      <c r="C6" s="278" t="s">
        <v>687</v>
      </c>
      <c r="D6" s="278" t="s">
        <v>688</v>
      </c>
    </row>
    <row r="7" spans="1:7" ht="27" customHeight="1" x14ac:dyDescent="0.25">
      <c r="A7" s="713" t="s">
        <v>193</v>
      </c>
      <c r="B7" s="709" t="s">
        <v>194</v>
      </c>
      <c r="C7" s="719">
        <f>SUM(C8:C10)</f>
        <v>542700</v>
      </c>
      <c r="D7" s="719">
        <f>SUM(D8:D10)</f>
        <v>4390000</v>
      </c>
    </row>
    <row r="8" spans="1:7" s="259" customFormat="1" ht="18" customHeight="1" x14ac:dyDescent="0.25">
      <c r="A8" s="861" t="s">
        <v>686</v>
      </c>
      <c r="B8" s="855"/>
      <c r="C8" s="838"/>
      <c r="D8" s="838">
        <v>380000</v>
      </c>
    </row>
    <row r="9" spans="1:7" s="259" customFormat="1" ht="18" customHeight="1" x14ac:dyDescent="0.25">
      <c r="A9" s="861"/>
      <c r="B9" s="855"/>
      <c r="C9" s="838">
        <v>542700</v>
      </c>
      <c r="D9" s="838"/>
    </row>
    <row r="10" spans="1:7" s="149" customFormat="1" ht="16.5" customHeight="1" x14ac:dyDescent="0.25">
      <c r="A10" s="862" t="s">
        <v>684</v>
      </c>
      <c r="B10" s="855"/>
      <c r="C10" s="856"/>
      <c r="D10" s="840">
        <v>4010000</v>
      </c>
    </row>
    <row r="11" spans="1:7" ht="18.75" customHeight="1" x14ac:dyDescent="0.25">
      <c r="A11" s="402" t="s">
        <v>195</v>
      </c>
      <c r="B11" s="709" t="s">
        <v>196</v>
      </c>
      <c r="C11" s="719">
        <f>SUM(C12:C13)</f>
        <v>1600000</v>
      </c>
      <c r="D11" s="719">
        <f>SUM(D12:D13)</f>
        <v>0</v>
      </c>
    </row>
    <row r="12" spans="1:7" s="259" customFormat="1" ht="18.75" customHeight="1" x14ac:dyDescent="0.25">
      <c r="A12" s="403" t="s">
        <v>711</v>
      </c>
      <c r="B12" s="831"/>
      <c r="C12" s="838">
        <v>1600000</v>
      </c>
      <c r="D12" s="838"/>
    </row>
    <row r="13" spans="1:7" s="149" customFormat="1" ht="19.5" customHeight="1" x14ac:dyDescent="0.25">
      <c r="A13" s="403"/>
      <c r="B13" s="855"/>
      <c r="C13" s="856"/>
      <c r="D13" s="840"/>
    </row>
    <row r="14" spans="1:7" ht="20.25" customHeight="1" x14ac:dyDescent="0.25">
      <c r="A14" s="402" t="s">
        <v>197</v>
      </c>
      <c r="B14" s="709" t="s">
        <v>198</v>
      </c>
      <c r="C14" s="719">
        <f t="shared" ref="C14" si="0">SUM(C15)</f>
        <v>1111101</v>
      </c>
      <c r="D14" s="719">
        <f>SUM(D15:D16)</f>
        <v>0</v>
      </c>
    </row>
    <row r="15" spans="1:7" s="149" customFormat="1" ht="17.25" customHeight="1" x14ac:dyDescent="0.25">
      <c r="A15" s="403"/>
      <c r="B15" s="855"/>
      <c r="C15" s="856">
        <v>1111101</v>
      </c>
      <c r="D15" s="840"/>
    </row>
    <row r="16" spans="1:7" s="149" customFormat="1" ht="15" customHeight="1" x14ac:dyDescent="0.25">
      <c r="A16" s="403"/>
      <c r="B16" s="855"/>
      <c r="C16" s="856"/>
      <c r="D16" s="840"/>
    </row>
    <row r="17" spans="1:4" ht="27.75" customHeight="1" x14ac:dyDescent="0.25">
      <c r="A17" s="402" t="s">
        <v>199</v>
      </c>
      <c r="B17" s="709" t="s">
        <v>200</v>
      </c>
      <c r="C17" s="719">
        <f>SUM(C18:C19)</f>
        <v>8649982</v>
      </c>
      <c r="D17" s="719">
        <f>SUM(D18:D19)</f>
        <v>84300000</v>
      </c>
    </row>
    <row r="18" spans="1:4" s="259" customFormat="1" ht="19.5" customHeight="1" x14ac:dyDescent="0.25">
      <c r="A18" s="863"/>
      <c r="B18" s="855"/>
      <c r="C18" s="838">
        <v>8649982</v>
      </c>
      <c r="D18" s="838"/>
    </row>
    <row r="19" spans="1:4" s="194" customFormat="1" ht="19.5" customHeight="1" x14ac:dyDescent="0.25">
      <c r="A19" s="403" t="s">
        <v>712</v>
      </c>
      <c r="B19" s="855"/>
      <c r="C19" s="856"/>
      <c r="D19" s="840">
        <v>84300000</v>
      </c>
    </row>
    <row r="20" spans="1:4" ht="30" customHeight="1" x14ac:dyDescent="0.25">
      <c r="A20" s="402" t="s">
        <v>201</v>
      </c>
      <c r="B20" s="709" t="s">
        <v>202</v>
      </c>
      <c r="C20" s="719">
        <f>SUM(C21:C24)</f>
        <v>3100678</v>
      </c>
      <c r="D20" s="719">
        <f>SUM(D21:D24)</f>
        <v>931500</v>
      </c>
    </row>
    <row r="21" spans="1:4" s="259" customFormat="1" ht="15" customHeight="1" x14ac:dyDescent="0.25">
      <c r="A21" s="33" t="s">
        <v>685</v>
      </c>
      <c r="B21" s="711"/>
      <c r="C21" s="721"/>
      <c r="D21" s="721">
        <v>931500</v>
      </c>
    </row>
    <row r="22" spans="1:4" s="259" customFormat="1" ht="15" customHeight="1" x14ac:dyDescent="0.25">
      <c r="A22" s="33"/>
      <c r="B22" s="711"/>
      <c r="C22" s="721"/>
      <c r="D22" s="721"/>
    </row>
    <row r="23" spans="1:4" s="259" customFormat="1" ht="15" customHeight="1" x14ac:dyDescent="0.25">
      <c r="A23" s="33"/>
      <c r="B23" s="711"/>
      <c r="C23" s="721"/>
      <c r="D23" s="721"/>
    </row>
    <row r="24" spans="1:4" s="149" customFormat="1" ht="15.75" customHeight="1" x14ac:dyDescent="0.25">
      <c r="A24" s="33"/>
      <c r="B24" s="712"/>
      <c r="C24" s="721">
        <v>3100678</v>
      </c>
      <c r="D24" s="721"/>
    </row>
    <row r="25" spans="1:4" s="194" customFormat="1" ht="25.5" customHeight="1" x14ac:dyDescent="0.25">
      <c r="A25" s="708" t="s">
        <v>590</v>
      </c>
      <c r="B25" s="709" t="s">
        <v>345</v>
      </c>
      <c r="C25" s="719">
        <v>3006684</v>
      </c>
      <c r="D25" s="839">
        <v>3096732</v>
      </c>
    </row>
    <row r="26" spans="1:4" ht="29.25" customHeight="1" x14ac:dyDescent="0.3">
      <c r="A26" s="717" t="s">
        <v>203</v>
      </c>
      <c r="B26" s="716" t="s">
        <v>204</v>
      </c>
      <c r="C26" s="722">
        <f>SUM(C20,C17,C14,C11,C7,C25)</f>
        <v>18011145</v>
      </c>
      <c r="D26" s="722">
        <f>SUM(D20,D17,D14,D11,D7,D25)</f>
        <v>92718232</v>
      </c>
    </row>
    <row r="27" spans="1:4" x14ac:dyDescent="0.25">
      <c r="A27" s="402" t="s">
        <v>205</v>
      </c>
      <c r="B27" s="709" t="s">
        <v>206</v>
      </c>
      <c r="C27" s="719">
        <f>SUM(C28:C31)</f>
        <v>30070565</v>
      </c>
      <c r="D27" s="719">
        <f>SUM(D28:D31)</f>
        <v>57480200</v>
      </c>
    </row>
    <row r="28" spans="1:4" s="259" customFormat="1" x14ac:dyDescent="0.25">
      <c r="A28" s="403" t="s">
        <v>689</v>
      </c>
      <c r="B28" s="831"/>
      <c r="C28" s="838"/>
      <c r="D28" s="838">
        <v>51181000</v>
      </c>
    </row>
    <row r="29" spans="1:4" s="259" customFormat="1" x14ac:dyDescent="0.25">
      <c r="A29" s="403"/>
      <c r="B29" s="831"/>
      <c r="C29" s="838">
        <v>30070565</v>
      </c>
      <c r="D29" s="838"/>
    </row>
    <row r="30" spans="1:4" s="259" customFormat="1" x14ac:dyDescent="0.25">
      <c r="A30" s="403" t="s">
        <v>704</v>
      </c>
      <c r="B30" s="831"/>
      <c r="C30" s="832"/>
      <c r="D30" s="838">
        <v>6299200</v>
      </c>
    </row>
    <row r="31" spans="1:4" s="149" customFormat="1" x14ac:dyDescent="0.25">
      <c r="A31" s="30"/>
      <c r="B31" s="710"/>
      <c r="C31" s="720"/>
      <c r="D31" s="837"/>
    </row>
    <row r="32" spans="1:4" s="149" customFormat="1" x14ac:dyDescent="0.25">
      <c r="A32" s="402" t="s">
        <v>348</v>
      </c>
      <c r="B32" s="709" t="s">
        <v>349</v>
      </c>
      <c r="C32" s="723">
        <f>SUM(C33:C33)</f>
        <v>0</v>
      </c>
      <c r="D32" s="723">
        <f>SUM(D33:D33)</f>
        <v>0</v>
      </c>
    </row>
    <row r="33" spans="1:4" s="149" customFormat="1" x14ac:dyDescent="0.25">
      <c r="A33" s="30"/>
      <c r="B33" s="710"/>
      <c r="C33" s="720"/>
      <c r="D33" s="837"/>
    </row>
    <row r="34" spans="1:4" s="259" customFormat="1" ht="25.5" x14ac:dyDescent="0.25">
      <c r="A34" s="402" t="s">
        <v>207</v>
      </c>
      <c r="B34" s="709" t="s">
        <v>208</v>
      </c>
      <c r="C34" s="839">
        <f>SUM(C35:C38)</f>
        <v>8011052</v>
      </c>
      <c r="D34" s="839">
        <f>SUM(D35:D38)</f>
        <v>15519800</v>
      </c>
    </row>
    <row r="35" spans="1:4" s="259" customFormat="1" x14ac:dyDescent="0.25">
      <c r="A35" s="403" t="s">
        <v>665</v>
      </c>
      <c r="B35" s="831"/>
      <c r="C35" s="840"/>
      <c r="D35" s="840">
        <v>13819000</v>
      </c>
    </row>
    <row r="36" spans="1:4" s="259" customFormat="1" x14ac:dyDescent="0.25">
      <c r="A36" s="403"/>
      <c r="B36" s="831"/>
      <c r="C36" s="840">
        <v>8011052</v>
      </c>
      <c r="D36" s="840">
        <f>D29*0.27</f>
        <v>0</v>
      </c>
    </row>
    <row r="37" spans="1:4" s="259" customFormat="1" x14ac:dyDescent="0.25">
      <c r="A37" s="403" t="s">
        <v>704</v>
      </c>
      <c r="B37" s="831"/>
      <c r="C37" s="840"/>
      <c r="D37" s="840">
        <v>1700800</v>
      </c>
    </row>
    <row r="38" spans="1:4" x14ac:dyDescent="0.25">
      <c r="A38" s="33"/>
      <c r="B38" s="711"/>
      <c r="C38" s="840">
        <f t="shared" ref="C38:D38" si="1">C31*0.27</f>
        <v>0</v>
      </c>
      <c r="D38" s="840">
        <f t="shared" si="1"/>
        <v>0</v>
      </c>
    </row>
    <row r="39" spans="1:4" ht="26.25" customHeight="1" thickBot="1" x14ac:dyDescent="0.35">
      <c r="A39" s="714" t="s">
        <v>209</v>
      </c>
      <c r="B39" s="715" t="s">
        <v>210</v>
      </c>
      <c r="C39" s="724">
        <f>SUM(C27,C34,C32)</f>
        <v>38081617</v>
      </c>
      <c r="D39" s="724">
        <f>SUM(D27,D34,D32)</f>
        <v>73000000</v>
      </c>
    </row>
  </sheetData>
  <mergeCells count="2">
    <mergeCell ref="A1:G1"/>
    <mergeCell ref="A3:D3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21"/>
  <sheetViews>
    <sheetView workbookViewId="0">
      <selection activeCell="C18" sqref="C18"/>
    </sheetView>
  </sheetViews>
  <sheetFormatPr defaultRowHeight="15" x14ac:dyDescent="0.25"/>
  <cols>
    <col min="2" max="2" width="26" customWidth="1"/>
    <col min="3" max="3" width="27.140625" customWidth="1"/>
  </cols>
  <sheetData>
    <row r="1" spans="1:7" s="259" customFormat="1" ht="15.75" customHeight="1" x14ac:dyDescent="0.25">
      <c r="A1" s="933" t="s">
        <v>755</v>
      </c>
      <c r="B1" s="933"/>
      <c r="C1" s="933"/>
      <c r="D1" s="933"/>
      <c r="E1" s="933"/>
      <c r="F1" s="878"/>
      <c r="G1" s="878"/>
    </row>
    <row r="2" spans="1:7" s="259" customFormat="1" x14ac:dyDescent="0.25">
      <c r="A2" s="100"/>
      <c r="B2" s="100"/>
    </row>
    <row r="3" spans="1:7" s="259" customFormat="1" ht="15" customHeight="1" x14ac:dyDescent="0.25">
      <c r="A3" s="975" t="s">
        <v>719</v>
      </c>
      <c r="B3" s="975"/>
      <c r="C3" s="975"/>
      <c r="D3" s="975"/>
      <c r="E3" s="975"/>
      <c r="F3" s="886"/>
      <c r="G3" s="886"/>
    </row>
    <row r="4" spans="1:7" x14ac:dyDescent="0.25">
      <c r="A4" s="975"/>
      <c r="B4" s="975"/>
      <c r="C4" s="975"/>
      <c r="D4" s="975"/>
      <c r="E4" s="975"/>
      <c r="F4" s="886"/>
      <c r="G4" s="886"/>
    </row>
    <row r="5" spans="1:7" x14ac:dyDescent="0.25">
      <c r="B5" s="936" t="s">
        <v>720</v>
      </c>
      <c r="C5" s="936"/>
      <c r="D5" s="936"/>
    </row>
    <row r="7" spans="1:7" ht="15.75" thickBot="1" x14ac:dyDescent="0.3">
      <c r="B7" s="747" t="s">
        <v>618</v>
      </c>
      <c r="C7" s="748">
        <f>SUM(C8:C9)</f>
        <v>186769314</v>
      </c>
    </row>
    <row r="8" spans="1:7" s="259" customFormat="1" x14ac:dyDescent="0.25">
      <c r="B8" s="745" t="s">
        <v>621</v>
      </c>
      <c r="C8" s="746">
        <v>178600493</v>
      </c>
    </row>
    <row r="9" spans="1:7" s="259" customFormat="1" x14ac:dyDescent="0.25">
      <c r="B9" s="743" t="s">
        <v>622</v>
      </c>
      <c r="C9" s="744">
        <v>8168821</v>
      </c>
    </row>
    <row r="10" spans="1:7" s="259" customFormat="1" x14ac:dyDescent="0.25">
      <c r="B10" s="189"/>
      <c r="C10" s="349"/>
    </row>
    <row r="11" spans="1:7" x14ac:dyDescent="0.25">
      <c r="B11" s="111" t="s">
        <v>623</v>
      </c>
      <c r="C11" s="350"/>
    </row>
    <row r="12" spans="1:7" x14ac:dyDescent="0.25">
      <c r="B12" s="111" t="s">
        <v>619</v>
      </c>
      <c r="C12" s="324">
        <v>8280974</v>
      </c>
    </row>
    <row r="13" spans="1:7" s="259" customFormat="1" x14ac:dyDescent="0.25">
      <c r="B13" s="111" t="s">
        <v>722</v>
      </c>
      <c r="C13" s="324">
        <v>84300000</v>
      </c>
    </row>
    <row r="14" spans="1:7" s="259" customFormat="1" x14ac:dyDescent="0.25">
      <c r="B14" s="111" t="s">
        <v>721</v>
      </c>
      <c r="C14" s="324">
        <v>65000000</v>
      </c>
    </row>
    <row r="15" spans="1:7" s="259" customFormat="1" x14ac:dyDescent="0.25">
      <c r="B15" s="857" t="s">
        <v>733</v>
      </c>
      <c r="C15" s="324">
        <v>10000000</v>
      </c>
    </row>
    <row r="16" spans="1:7" s="259" customFormat="1" x14ac:dyDescent="0.25">
      <c r="B16" s="111" t="s">
        <v>666</v>
      </c>
      <c r="C16" s="38">
        <v>1509253</v>
      </c>
    </row>
    <row r="17" spans="2:3" s="259" customFormat="1" ht="30" x14ac:dyDescent="0.25">
      <c r="B17" s="891" t="s">
        <v>737</v>
      </c>
      <c r="C17" s="890">
        <v>2500000</v>
      </c>
    </row>
    <row r="18" spans="2:3" s="259" customFormat="1" x14ac:dyDescent="0.25">
      <c r="B18" s="857"/>
      <c r="C18" s="324"/>
    </row>
    <row r="19" spans="2:3" s="259" customFormat="1" ht="15.75" thickBot="1" x14ac:dyDescent="0.3">
      <c r="B19" s="162"/>
      <c r="C19" s="812"/>
    </row>
    <row r="20" spans="2:3" ht="30" x14ac:dyDescent="0.25">
      <c r="B20" s="810" t="s">
        <v>620</v>
      </c>
      <c r="C20" s="811">
        <f>SUM(C12:C19)</f>
        <v>171590227</v>
      </c>
    </row>
    <row r="21" spans="2:3" ht="15.75" thickBot="1" x14ac:dyDescent="0.3">
      <c r="B21" s="351" t="s">
        <v>626</v>
      </c>
      <c r="C21" s="352">
        <f>C7-C20</f>
        <v>15179087</v>
      </c>
    </row>
  </sheetData>
  <mergeCells count="3">
    <mergeCell ref="B5:D5"/>
    <mergeCell ref="A1:E1"/>
    <mergeCell ref="A3:E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J20"/>
  <sheetViews>
    <sheetView view="pageBreakPreview" zoomScale="110" zoomScaleSheetLayoutView="110" workbookViewId="0">
      <selection sqref="A1:I1"/>
    </sheetView>
  </sheetViews>
  <sheetFormatPr defaultRowHeight="15" x14ac:dyDescent="0.25"/>
  <cols>
    <col min="1" max="1" width="39.85546875" customWidth="1"/>
    <col min="2" max="2" width="11.85546875" style="194" customWidth="1"/>
    <col min="3" max="3" width="19" customWidth="1"/>
    <col min="4" max="4" width="19" style="259" customWidth="1"/>
    <col min="5" max="5" width="18.140625" customWidth="1"/>
    <col min="6" max="6" width="18.140625" style="259" customWidth="1"/>
    <col min="7" max="7" width="19.85546875" customWidth="1"/>
    <col min="8" max="8" width="19.85546875" style="259" customWidth="1"/>
    <col min="9" max="9" width="23.85546875" customWidth="1"/>
    <col min="10" max="10" width="19.5703125" customWidth="1"/>
  </cols>
  <sheetData>
    <row r="1" spans="1:10" x14ac:dyDescent="0.25">
      <c r="A1" s="976" t="s">
        <v>756</v>
      </c>
      <c r="B1" s="976"/>
      <c r="C1" s="976"/>
      <c r="D1" s="976"/>
      <c r="E1" s="976"/>
      <c r="F1" s="976"/>
      <c r="G1" s="976"/>
      <c r="H1" s="976"/>
      <c r="I1" s="976"/>
    </row>
    <row r="2" spans="1:10" s="149" customFormat="1" x14ac:dyDescent="0.25">
      <c r="B2" s="194"/>
      <c r="C2" s="165"/>
      <c r="D2" s="165"/>
      <c r="E2" s="165"/>
      <c r="F2" s="165"/>
      <c r="G2" s="165"/>
      <c r="H2" s="165"/>
      <c r="I2" s="165"/>
    </row>
    <row r="3" spans="1:10" x14ac:dyDescent="0.25">
      <c r="A3" s="894" t="s">
        <v>718</v>
      </c>
      <c r="B3" s="894"/>
      <c r="C3" s="894"/>
      <c r="D3" s="894"/>
      <c r="E3" s="894"/>
      <c r="F3" s="894"/>
      <c r="G3" s="894"/>
      <c r="H3" s="894"/>
      <c r="I3" s="894"/>
    </row>
    <row r="4" spans="1:10" x14ac:dyDescent="0.25">
      <c r="A4" s="106"/>
      <c r="C4" s="106"/>
      <c r="E4" s="106"/>
      <c r="G4" s="106"/>
      <c r="I4" s="113" t="s">
        <v>388</v>
      </c>
    </row>
    <row r="5" spans="1:10" ht="55.5" customHeight="1" x14ac:dyDescent="0.25">
      <c r="A5" s="984" t="s">
        <v>229</v>
      </c>
      <c r="B5" s="977" t="s">
        <v>521</v>
      </c>
      <c r="C5" s="987" t="s">
        <v>526</v>
      </c>
      <c r="D5" s="988"/>
      <c r="E5" s="989" t="s">
        <v>527</v>
      </c>
      <c r="F5" s="990"/>
      <c r="G5" s="993" t="s">
        <v>525</v>
      </c>
      <c r="H5" s="994"/>
      <c r="I5" s="997" t="s">
        <v>230</v>
      </c>
      <c r="J5" s="997"/>
    </row>
    <row r="6" spans="1:10" ht="15" customHeight="1" x14ac:dyDescent="0.25">
      <c r="A6" s="984"/>
      <c r="B6" s="978"/>
      <c r="C6" s="985" t="s">
        <v>668</v>
      </c>
      <c r="D6" s="985" t="s">
        <v>669</v>
      </c>
      <c r="E6" s="981" t="s">
        <v>668</v>
      </c>
      <c r="F6" s="991" t="s">
        <v>669</v>
      </c>
      <c r="G6" s="980" t="s">
        <v>668</v>
      </c>
      <c r="H6" s="995" t="s">
        <v>669</v>
      </c>
      <c r="I6" s="982" t="s">
        <v>668</v>
      </c>
      <c r="J6" s="998" t="s">
        <v>669</v>
      </c>
    </row>
    <row r="7" spans="1:10" ht="36.75" customHeight="1" x14ac:dyDescent="0.25">
      <c r="A7" s="984"/>
      <c r="B7" s="979"/>
      <c r="C7" s="986"/>
      <c r="D7" s="986"/>
      <c r="E7" s="981"/>
      <c r="F7" s="992"/>
      <c r="G7" s="980"/>
      <c r="H7" s="996"/>
      <c r="I7" s="983"/>
      <c r="J7" s="998"/>
    </row>
    <row r="8" spans="1:10" x14ac:dyDescent="0.25">
      <c r="A8" s="107" t="s">
        <v>231</v>
      </c>
      <c r="B8" s="107" t="s">
        <v>522</v>
      </c>
      <c r="C8" s="114">
        <f>'17mell Óvoda'!D23</f>
        <v>64173566</v>
      </c>
      <c r="D8" s="114">
        <f>'17mell Óvoda'!E23</f>
        <v>70764174</v>
      </c>
      <c r="E8" s="28">
        <f>'18 mellMűvelődési Ház'!D25</f>
        <v>13247088</v>
      </c>
      <c r="F8" s="28">
        <f>'18 mellMűvelődési Ház'!E25</f>
        <v>14806230</v>
      </c>
      <c r="G8" s="114">
        <f>'19 Hivatal költségvetése'!D25</f>
        <v>25908170</v>
      </c>
      <c r="H8" s="114">
        <f>'19 Hivatal költségvetése'!E25</f>
        <v>28541268</v>
      </c>
      <c r="I8" s="118">
        <f t="shared" ref="I8:J12" si="0">SUM(C8,E8,G8)</f>
        <v>103328824</v>
      </c>
      <c r="J8" s="118">
        <f t="shared" si="0"/>
        <v>114111672</v>
      </c>
    </row>
    <row r="9" spans="1:10" x14ac:dyDescent="0.25">
      <c r="A9" s="108" t="s">
        <v>232</v>
      </c>
      <c r="B9" s="108" t="s">
        <v>522</v>
      </c>
      <c r="C9" s="114">
        <f>'17mell Óvoda'!D24</f>
        <v>10916538</v>
      </c>
      <c r="D9" s="114">
        <f>'17mell Óvoda'!E24</f>
        <v>10685370.470000001</v>
      </c>
      <c r="E9" s="28">
        <f>'18 mellMűvelődési Ház'!D26</f>
        <v>2276461</v>
      </c>
      <c r="F9" s="28">
        <f>'18 mellMűvelődési Ház'!E26</f>
        <v>2452983</v>
      </c>
      <c r="G9" s="114">
        <f>'19 Hivatal költségvetése'!D26</f>
        <v>4402564</v>
      </c>
      <c r="H9" s="114">
        <f>'19 Hivatal költségvetése'!E26</f>
        <v>4217432</v>
      </c>
      <c r="I9" s="118">
        <f t="shared" si="0"/>
        <v>17595563</v>
      </c>
      <c r="J9" s="118">
        <f t="shared" si="0"/>
        <v>17355785.469999999</v>
      </c>
    </row>
    <row r="10" spans="1:10" x14ac:dyDescent="0.25">
      <c r="A10" s="107" t="s">
        <v>233</v>
      </c>
      <c r="B10" s="107" t="s">
        <v>522</v>
      </c>
      <c r="C10" s="114">
        <f>'17mell Óvoda'!D79</f>
        <v>7397204</v>
      </c>
      <c r="D10" s="114">
        <f>'17mell Óvoda'!E79</f>
        <v>6116200</v>
      </c>
      <c r="E10" s="28">
        <f>'18 mellMűvelődési Ház'!D82</f>
        <v>7100718</v>
      </c>
      <c r="F10" s="28">
        <f>'18 mellMűvelődési Ház'!E82</f>
        <v>7857000</v>
      </c>
      <c r="G10" s="114">
        <f>'19 Hivatal költségvetése'!D82</f>
        <v>10168823</v>
      </c>
      <c r="H10" s="114">
        <f>'19 Hivatal költségvetése'!E82</f>
        <v>10406427</v>
      </c>
      <c r="I10" s="118">
        <f t="shared" si="0"/>
        <v>24666745</v>
      </c>
      <c r="J10" s="118">
        <f t="shared" si="0"/>
        <v>24379627</v>
      </c>
    </row>
    <row r="11" spans="1:10" x14ac:dyDescent="0.25">
      <c r="A11" s="109" t="s">
        <v>234</v>
      </c>
      <c r="B11" s="109" t="s">
        <v>522</v>
      </c>
      <c r="C11" s="114">
        <f>'17mell Óvoda'!D99</f>
        <v>237448.09</v>
      </c>
      <c r="D11" s="114">
        <f>'17mell Óvoda'!E99</f>
        <v>1524000</v>
      </c>
      <c r="E11" s="28">
        <f>'18 mellMűvelődési Ház'!D91</f>
        <v>905500</v>
      </c>
      <c r="F11" s="28">
        <f>'18 mellMűvelődési Ház'!E91</f>
        <v>1580370</v>
      </c>
      <c r="G11" s="114">
        <f>'19 Hivatal költségvetése'!D92</f>
        <v>606351</v>
      </c>
      <c r="H11" s="114">
        <f>'19 Hivatal költségvetése'!E92</f>
        <v>317500</v>
      </c>
      <c r="I11" s="118">
        <f t="shared" si="0"/>
        <v>1749299.09</v>
      </c>
      <c r="J11" s="118">
        <f t="shared" si="0"/>
        <v>3421870</v>
      </c>
    </row>
    <row r="12" spans="1:10" s="106" customFormat="1" x14ac:dyDescent="0.25">
      <c r="A12" s="109" t="s">
        <v>389</v>
      </c>
      <c r="B12" s="109" t="s">
        <v>522</v>
      </c>
      <c r="C12" s="28">
        <f>'17mell Óvoda'!D104</f>
        <v>0</v>
      </c>
      <c r="D12" s="28">
        <f>'17mell Óvoda'!E104</f>
        <v>0</v>
      </c>
      <c r="E12" s="28">
        <f>'18 mellMűvelődési Ház'!D99</f>
        <v>983000</v>
      </c>
      <c r="F12" s="28">
        <f>'18 mellMűvelődési Ház'!E99</f>
        <v>0</v>
      </c>
      <c r="G12" s="114">
        <f>'19 Hivatal költségvetése'!D100</f>
        <v>0</v>
      </c>
      <c r="H12" s="114">
        <f>'19 Hivatal költségvetése'!E100</f>
        <v>0</v>
      </c>
      <c r="I12" s="118">
        <f t="shared" si="0"/>
        <v>983000</v>
      </c>
      <c r="J12" s="118">
        <f t="shared" si="0"/>
        <v>0</v>
      </c>
    </row>
    <row r="13" spans="1:10" x14ac:dyDescent="0.25">
      <c r="A13" s="110" t="s">
        <v>235</v>
      </c>
      <c r="B13" s="110" t="s">
        <v>522</v>
      </c>
      <c r="C13" s="119">
        <f t="shared" ref="C13" si="1">SUM(C8:C12)</f>
        <v>82724756.090000004</v>
      </c>
      <c r="D13" s="119">
        <f t="shared" ref="D13" si="2">SUM(D8:D12)</f>
        <v>89089744.469999999</v>
      </c>
      <c r="E13" s="120">
        <f t="shared" ref="E13" si="3">SUM(E8:E12)</f>
        <v>24512767</v>
      </c>
      <c r="F13" s="120">
        <f t="shared" ref="F13" si="4">SUM(F8:F12)</f>
        <v>26696583</v>
      </c>
      <c r="G13" s="121">
        <f t="shared" ref="G13" si="5">SUM(G8:G12)</f>
        <v>41085908</v>
      </c>
      <c r="H13" s="121">
        <f t="shared" ref="H13" si="6">SUM(H8:H12)</f>
        <v>43482627</v>
      </c>
      <c r="I13" s="115">
        <f t="shared" ref="I13" si="7">SUM(I8:I12)</f>
        <v>148323431.09</v>
      </c>
      <c r="J13" s="115">
        <f t="shared" ref="J13" si="8">SUM(J8:J12)</f>
        <v>159268954.47</v>
      </c>
    </row>
    <row r="14" spans="1:10" x14ac:dyDescent="0.25">
      <c r="A14" s="107" t="s">
        <v>236</v>
      </c>
      <c r="B14" s="107" t="s">
        <v>522</v>
      </c>
      <c r="C14" s="28"/>
      <c r="D14" s="28"/>
      <c r="E14" s="28"/>
      <c r="F14" s="28"/>
      <c r="G14" s="28"/>
      <c r="H14" s="28"/>
      <c r="I14" s="118">
        <f t="shared" ref="I14:J16" si="9">SUM(C14,E14,G14)</f>
        <v>0</v>
      </c>
      <c r="J14" s="118">
        <f t="shared" si="9"/>
        <v>0</v>
      </c>
    </row>
    <row r="15" spans="1:10" x14ac:dyDescent="0.25">
      <c r="A15" s="107" t="s">
        <v>237</v>
      </c>
      <c r="B15" s="107" t="s">
        <v>522</v>
      </c>
      <c r="C15" s="28">
        <f>'17mell Óvoda'!D107+'17mell Óvoda'!D108</f>
        <v>22193</v>
      </c>
      <c r="D15" s="28">
        <f>'17mell Óvoda'!E107+'17mell Óvoda'!E108</f>
        <v>0</v>
      </c>
      <c r="E15" s="28">
        <f>'18 mellMűvelődési Ház'!D102+'18 mellMűvelődési Ház'!D103</f>
        <v>5363826</v>
      </c>
      <c r="F15" s="28">
        <f>'18 mellMűvelődési Ház'!E102+'18 mellMűvelődési Ház'!E103</f>
        <v>7000000</v>
      </c>
      <c r="G15" s="28">
        <f>'19 Hivatal költségvetése'!D103</f>
        <v>557741</v>
      </c>
      <c r="H15" s="28">
        <f>'19 Hivatal költségvetése'!E103</f>
        <v>300000</v>
      </c>
      <c r="I15" s="118">
        <f t="shared" si="9"/>
        <v>5943760</v>
      </c>
      <c r="J15" s="118">
        <f t="shared" si="9"/>
        <v>7300000</v>
      </c>
    </row>
    <row r="16" spans="1:10" s="106" customFormat="1" ht="14.25" customHeight="1" x14ac:dyDescent="0.25">
      <c r="A16" s="112" t="s">
        <v>394</v>
      </c>
      <c r="B16" s="112" t="s">
        <v>522</v>
      </c>
      <c r="C16" s="28"/>
      <c r="D16" s="28"/>
      <c r="E16" s="28">
        <f>'18 mellMűvelődési Ház'!D104</f>
        <v>0</v>
      </c>
      <c r="F16" s="28">
        <f>'18 mellMűvelődési Ház'!E104</f>
        <v>0</v>
      </c>
      <c r="G16" s="28"/>
      <c r="H16" s="28"/>
      <c r="I16" s="118">
        <f t="shared" si="9"/>
        <v>0</v>
      </c>
      <c r="J16" s="118">
        <f t="shared" si="9"/>
        <v>0</v>
      </c>
    </row>
    <row r="17" spans="1:10" ht="32.25" customHeight="1" x14ac:dyDescent="0.25">
      <c r="A17" s="112" t="s">
        <v>238</v>
      </c>
      <c r="B17" s="112" t="s">
        <v>522</v>
      </c>
      <c r="C17" s="870">
        <f>'17mell Óvoda'!J109</f>
        <v>512329</v>
      </c>
      <c r="D17" s="870">
        <f>'17mell Óvoda'!K109</f>
        <v>0</v>
      </c>
      <c r="E17" s="28">
        <f>'18 mellMűvelődési Ház'!F105</f>
        <v>613428</v>
      </c>
      <c r="F17" s="28">
        <f>'18 mellMűvelődési Ház'!G105</f>
        <v>3809993</v>
      </c>
      <c r="G17" s="28">
        <f>'19 Hivatal költségvetése'!D104</f>
        <v>847725</v>
      </c>
      <c r="H17" s="28">
        <f>'19 Hivatal költségvetése'!E104</f>
        <v>587127</v>
      </c>
      <c r="I17" s="118">
        <f>SUM(C17,E17,G17)</f>
        <v>1973482</v>
      </c>
      <c r="J17" s="118">
        <f>SUM(D17,F17,H17)</f>
        <v>4397120</v>
      </c>
    </row>
    <row r="18" spans="1:10" ht="15.75" x14ac:dyDescent="0.25">
      <c r="A18" s="112" t="s">
        <v>239</v>
      </c>
      <c r="B18" s="112" t="s">
        <v>522</v>
      </c>
      <c r="C18" s="28">
        <f>'17mell Óvoda'!D110</f>
        <v>82190234.090000004</v>
      </c>
      <c r="D18" s="28">
        <f>'17mell Óvoda'!E110</f>
        <v>89089744.469999999</v>
      </c>
      <c r="E18" s="28">
        <f>'18 mellMűvelődési Ház'!D106</f>
        <v>18535513</v>
      </c>
      <c r="F18" s="28">
        <f>'18 mellMűvelődési Ház'!E106</f>
        <v>15886590</v>
      </c>
      <c r="G18" s="28">
        <f>'19 Hivatal költségvetése'!D105</f>
        <v>39680442</v>
      </c>
      <c r="H18" s="28">
        <f>'19 Hivatal költségvetése'!E105</f>
        <v>42595500</v>
      </c>
      <c r="I18" s="118">
        <f>SUM(C18,E18,G18)</f>
        <v>140406189.09</v>
      </c>
      <c r="J18" s="118">
        <f>SUM(D18,F18,H18)</f>
        <v>147571834.47</v>
      </c>
    </row>
    <row r="19" spans="1:10" x14ac:dyDescent="0.25">
      <c r="A19" s="110" t="s">
        <v>240</v>
      </c>
      <c r="B19" s="110"/>
      <c r="C19" s="119">
        <f t="shared" ref="C19:J19" si="10">SUM(C14:C18)</f>
        <v>82724756.090000004</v>
      </c>
      <c r="D19" s="119">
        <f t="shared" ref="D19" si="11">SUM(D14:D18)</f>
        <v>89089744.469999999</v>
      </c>
      <c r="E19" s="120">
        <f t="shared" si="10"/>
        <v>24512767</v>
      </c>
      <c r="F19" s="120">
        <f t="shared" si="10"/>
        <v>26696583</v>
      </c>
      <c r="G19" s="121">
        <f t="shared" si="10"/>
        <v>41085908</v>
      </c>
      <c r="H19" s="121">
        <f t="shared" si="10"/>
        <v>43482627</v>
      </c>
      <c r="I19" s="115">
        <f t="shared" si="10"/>
        <v>148323431.09</v>
      </c>
      <c r="J19" s="115">
        <f t="shared" si="10"/>
        <v>159268954.47</v>
      </c>
    </row>
    <row r="20" spans="1:10" x14ac:dyDescent="0.25">
      <c r="A20" s="106" t="s">
        <v>241</v>
      </c>
      <c r="C20" s="17">
        <f>C19-C13</f>
        <v>0</v>
      </c>
      <c r="D20" s="17">
        <f t="shared" ref="D20" si="12">D13-D19</f>
        <v>0</v>
      </c>
      <c r="E20" s="17">
        <f t="shared" ref="E20:J20" si="13">E19-E13</f>
        <v>0</v>
      </c>
      <c r="F20" s="17">
        <f t="shared" si="13"/>
        <v>0</v>
      </c>
      <c r="G20" s="17">
        <f t="shared" si="13"/>
        <v>0</v>
      </c>
      <c r="H20" s="17">
        <f t="shared" si="13"/>
        <v>0</v>
      </c>
      <c r="I20" s="17">
        <f t="shared" si="13"/>
        <v>0</v>
      </c>
      <c r="J20" s="17">
        <f t="shared" si="13"/>
        <v>0</v>
      </c>
    </row>
  </sheetData>
  <mergeCells count="16">
    <mergeCell ref="A1:I1"/>
    <mergeCell ref="A3:I3"/>
    <mergeCell ref="B5:B7"/>
    <mergeCell ref="G6:G7"/>
    <mergeCell ref="E6:E7"/>
    <mergeCell ref="I6:I7"/>
    <mergeCell ref="A5:A7"/>
    <mergeCell ref="C6:C7"/>
    <mergeCell ref="C5:D5"/>
    <mergeCell ref="D6:D7"/>
    <mergeCell ref="E5:F5"/>
    <mergeCell ref="F6:F7"/>
    <mergeCell ref="G5:H5"/>
    <mergeCell ref="H6:H7"/>
    <mergeCell ref="I5:J5"/>
    <mergeCell ref="J6:J7"/>
  </mergeCells>
  <pageMargins left="0.25" right="0.25" top="0.75" bottom="0.75" header="0.3" footer="0.3"/>
  <pageSetup paperSize="8" scale="78" orientation="landscape" r:id="rId1"/>
  <colBreaks count="1" manualBreakCount="1">
    <brk id="6" max="1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N115"/>
  <sheetViews>
    <sheetView view="pageBreakPreview" zoomScale="60" zoomScaleNormal="90" workbookViewId="0">
      <pane xSplit="3" ySplit="6" topLeftCell="D67" activePane="bottomRight" state="frozen"/>
      <selection pane="topRight" activeCell="D1" sqref="D1"/>
      <selection pane="bottomLeft" activeCell="A7" sqref="A7"/>
      <selection pane="bottomRight" activeCell="K84" sqref="K84"/>
    </sheetView>
  </sheetViews>
  <sheetFormatPr defaultRowHeight="15" x14ac:dyDescent="0.25"/>
  <cols>
    <col min="1" max="1" width="9.140625" style="149"/>
    <col min="2" max="2" width="34.7109375" style="35" customWidth="1"/>
    <col min="3" max="3" width="16.7109375" style="149" customWidth="1"/>
    <col min="4" max="4" width="25.140625" style="149" customWidth="1"/>
    <col min="5" max="5" width="25.140625" style="259" customWidth="1"/>
    <col min="6" max="6" width="22.28515625" style="59" customWidth="1"/>
    <col min="7" max="7" width="24.28515625" style="59" customWidth="1"/>
    <col min="8" max="8" width="24.28515625" style="149" customWidth="1"/>
    <col min="9" max="9" width="24.28515625" style="259" customWidth="1"/>
    <col min="10" max="10" width="22.5703125" style="149" customWidth="1"/>
    <col min="11" max="11" width="21.140625" style="259" customWidth="1"/>
    <col min="12" max="12" width="22.140625" style="149" customWidth="1"/>
    <col min="13" max="13" width="20" style="149" customWidth="1"/>
    <col min="14" max="16384" width="9.140625" style="149"/>
  </cols>
  <sheetData>
    <row r="1" spans="1:13" ht="24" customHeight="1" x14ac:dyDescent="0.4">
      <c r="A1" s="976" t="s">
        <v>757</v>
      </c>
      <c r="B1" s="976"/>
      <c r="C1" s="976"/>
      <c r="D1" s="976"/>
      <c r="E1" s="976"/>
      <c r="F1" s="976"/>
      <c r="G1" s="976"/>
      <c r="H1" s="976"/>
      <c r="I1" s="976"/>
      <c r="J1" s="179"/>
      <c r="K1" s="179"/>
      <c r="L1" s="179"/>
    </row>
    <row r="2" spans="1:13" ht="45" customHeight="1" x14ac:dyDescent="0.4">
      <c r="A2" s="179"/>
      <c r="B2" s="999" t="s">
        <v>680</v>
      </c>
      <c r="C2" s="999"/>
      <c r="D2" s="999"/>
      <c r="E2" s="999"/>
      <c r="F2" s="999"/>
      <c r="G2" s="999"/>
      <c r="H2" s="999"/>
      <c r="I2" s="999"/>
      <c r="J2" s="999"/>
      <c r="K2" s="999"/>
      <c r="L2" s="999"/>
    </row>
    <row r="3" spans="1:13" ht="15.75" thickBot="1" x14ac:dyDescent="0.3">
      <c r="B3" s="34"/>
      <c r="F3" s="1000" t="s">
        <v>523</v>
      </c>
      <c r="G3" s="1000"/>
      <c r="H3" s="1001"/>
      <c r="I3" s="1001"/>
      <c r="J3" s="1001"/>
      <c r="K3" s="1001"/>
      <c r="L3" s="1001"/>
    </row>
    <row r="4" spans="1:13" ht="59.25" customHeight="1" x14ac:dyDescent="0.25">
      <c r="A4" s="1014" t="s">
        <v>275</v>
      </c>
      <c r="B4" s="1016" t="s">
        <v>68</v>
      </c>
      <c r="C4" s="1018" t="s">
        <v>67</v>
      </c>
      <c r="D4" s="1003" t="s">
        <v>230</v>
      </c>
      <c r="E4" s="1003"/>
      <c r="F4" s="1004" t="s">
        <v>591</v>
      </c>
      <c r="G4" s="1004"/>
      <c r="H4" s="1004" t="s">
        <v>444</v>
      </c>
      <c r="I4" s="1004"/>
      <c r="J4" s="1004" t="s">
        <v>557</v>
      </c>
      <c r="K4" s="1004"/>
      <c r="L4" s="1005" t="s">
        <v>382</v>
      </c>
      <c r="M4" s="1006"/>
    </row>
    <row r="5" spans="1:13" ht="15" customHeight="1" x14ac:dyDescent="0.25">
      <c r="A5" s="1015"/>
      <c r="B5" s="1017"/>
      <c r="C5" s="1019"/>
      <c r="D5" s="1002" t="s">
        <v>668</v>
      </c>
      <c r="E5" s="1002" t="s">
        <v>675</v>
      </c>
      <c r="F5" s="1008" t="s">
        <v>668</v>
      </c>
      <c r="G5" s="1008" t="s">
        <v>675</v>
      </c>
      <c r="H5" s="1008" t="s">
        <v>668</v>
      </c>
      <c r="I5" s="1008" t="s">
        <v>675</v>
      </c>
      <c r="J5" s="1008" t="s">
        <v>668</v>
      </c>
      <c r="K5" s="1008" t="s">
        <v>675</v>
      </c>
      <c r="L5" s="1030" t="s">
        <v>668</v>
      </c>
      <c r="M5" s="1007" t="s">
        <v>675</v>
      </c>
    </row>
    <row r="6" spans="1:13" ht="15.75" customHeight="1" x14ac:dyDescent="0.25">
      <c r="A6" s="1015"/>
      <c r="B6" s="1017"/>
      <c r="C6" s="1019"/>
      <c r="D6" s="1002"/>
      <c r="E6" s="1002"/>
      <c r="F6" s="1008"/>
      <c r="G6" s="1008"/>
      <c r="H6" s="1008"/>
      <c r="I6" s="1008"/>
      <c r="J6" s="1008"/>
      <c r="K6" s="1008"/>
      <c r="L6" s="1030"/>
      <c r="M6" s="1007"/>
    </row>
    <row r="7" spans="1:13" ht="30" x14ac:dyDescent="0.25">
      <c r="A7" s="60">
        <v>1</v>
      </c>
      <c r="B7" s="61" t="s">
        <v>71</v>
      </c>
      <c r="C7" s="88" t="s">
        <v>72</v>
      </c>
      <c r="D7" s="104">
        <f>SUM(L7)</f>
        <v>60794095</v>
      </c>
      <c r="E7" s="104">
        <f>M7</f>
        <v>62991574</v>
      </c>
      <c r="F7" s="62"/>
      <c r="G7" s="62">
        <v>9810930</v>
      </c>
      <c r="H7" s="63">
        <v>60794095</v>
      </c>
      <c r="I7" s="63">
        <v>51344494</v>
      </c>
      <c r="J7" s="63"/>
      <c r="K7" s="63">
        <v>1836150</v>
      </c>
      <c r="L7" s="180">
        <f>SUM(F7,H7,J7)</f>
        <v>60794095</v>
      </c>
      <c r="M7" s="180">
        <f>SUM(G7,I7,K7)</f>
        <v>62991574</v>
      </c>
    </row>
    <row r="8" spans="1:13" ht="15.75" x14ac:dyDescent="0.25">
      <c r="A8" s="60">
        <v>2</v>
      </c>
      <c r="B8" s="61" t="s">
        <v>277</v>
      </c>
      <c r="C8" s="88" t="s">
        <v>278</v>
      </c>
      <c r="D8" s="104">
        <f t="shared" ref="D8:D71" si="0">SUM(L8)</f>
        <v>232597</v>
      </c>
      <c r="E8" s="104">
        <f t="shared" ref="E8:E71" si="1">M8</f>
        <v>0</v>
      </c>
      <c r="F8" s="62"/>
      <c r="G8" s="62"/>
      <c r="H8" s="63">
        <v>232597</v>
      </c>
      <c r="I8" s="63"/>
      <c r="J8" s="63"/>
      <c r="K8" s="63"/>
      <c r="L8" s="180">
        <f t="shared" ref="L8:L71" si="2">SUM(F8,H8,J8)</f>
        <v>232597</v>
      </c>
      <c r="M8" s="180">
        <f t="shared" ref="M8:M71" si="3">SUM(G8,I8,K8)</f>
        <v>0</v>
      </c>
    </row>
    <row r="9" spans="1:13" ht="15.75" x14ac:dyDescent="0.25">
      <c r="A9" s="60">
        <v>3</v>
      </c>
      <c r="B9" s="61" t="s">
        <v>279</v>
      </c>
      <c r="C9" s="88" t="s">
        <v>280</v>
      </c>
      <c r="D9" s="104">
        <f t="shared" si="0"/>
        <v>0</v>
      </c>
      <c r="E9" s="104">
        <f t="shared" si="1"/>
        <v>0</v>
      </c>
      <c r="F9" s="62"/>
      <c r="G9" s="62"/>
      <c r="H9" s="63"/>
      <c r="I9" s="63"/>
      <c r="J9" s="63"/>
      <c r="K9" s="63"/>
      <c r="L9" s="180">
        <f t="shared" si="2"/>
        <v>0</v>
      </c>
      <c r="M9" s="180">
        <f t="shared" si="3"/>
        <v>0</v>
      </c>
    </row>
    <row r="10" spans="1:13" ht="30" x14ac:dyDescent="0.25">
      <c r="A10" s="60">
        <v>4</v>
      </c>
      <c r="B10" s="61" t="s">
        <v>281</v>
      </c>
      <c r="C10" s="88" t="s">
        <v>73</v>
      </c>
      <c r="D10" s="104">
        <f t="shared" si="0"/>
        <v>0</v>
      </c>
      <c r="E10" s="104">
        <f t="shared" si="1"/>
        <v>0</v>
      </c>
      <c r="F10" s="62"/>
      <c r="G10" s="62"/>
      <c r="H10" s="63"/>
      <c r="I10" s="63"/>
      <c r="J10" s="63">
        <v>0</v>
      </c>
      <c r="K10" s="63"/>
      <c r="L10" s="180">
        <f t="shared" si="2"/>
        <v>0</v>
      </c>
      <c r="M10" s="180">
        <f t="shared" si="3"/>
        <v>0</v>
      </c>
    </row>
    <row r="11" spans="1:13" ht="15.75" x14ac:dyDescent="0.25">
      <c r="A11" s="60">
        <v>5</v>
      </c>
      <c r="B11" s="61" t="s">
        <v>282</v>
      </c>
      <c r="C11" s="88" t="s">
        <v>283</v>
      </c>
      <c r="D11" s="104">
        <f t="shared" si="0"/>
        <v>0</v>
      </c>
      <c r="E11" s="104">
        <f t="shared" si="1"/>
        <v>0</v>
      </c>
      <c r="F11" s="62"/>
      <c r="G11" s="62"/>
      <c r="H11" s="63"/>
      <c r="I11" s="63"/>
      <c r="J11" s="63"/>
      <c r="K11" s="63"/>
      <c r="L11" s="180">
        <f t="shared" si="2"/>
        <v>0</v>
      </c>
      <c r="M11" s="180">
        <f t="shared" si="3"/>
        <v>0</v>
      </c>
    </row>
    <row r="12" spans="1:13" ht="15.75" x14ac:dyDescent="0.25">
      <c r="A12" s="60">
        <v>6</v>
      </c>
      <c r="B12" s="61" t="s">
        <v>74</v>
      </c>
      <c r="C12" s="88" t="s">
        <v>75</v>
      </c>
      <c r="D12" s="104">
        <f t="shared" si="0"/>
        <v>0</v>
      </c>
      <c r="E12" s="104">
        <f t="shared" si="1"/>
        <v>3471300</v>
      </c>
      <c r="F12" s="62"/>
      <c r="G12" s="62"/>
      <c r="H12" s="63"/>
      <c r="I12" s="63">
        <v>3471300</v>
      </c>
      <c r="J12" s="63"/>
      <c r="K12" s="63"/>
      <c r="L12" s="180">
        <f t="shared" si="2"/>
        <v>0</v>
      </c>
      <c r="M12" s="180">
        <f t="shared" si="3"/>
        <v>3471300</v>
      </c>
    </row>
    <row r="13" spans="1:13" ht="15.75" x14ac:dyDescent="0.25">
      <c r="A13" s="60">
        <v>7</v>
      </c>
      <c r="B13" s="61" t="s">
        <v>284</v>
      </c>
      <c r="C13" s="88" t="s">
        <v>77</v>
      </c>
      <c r="D13" s="104">
        <f t="shared" si="0"/>
        <v>1728000</v>
      </c>
      <c r="E13" s="104">
        <f t="shared" si="1"/>
        <v>2475000</v>
      </c>
      <c r="F13" s="62">
        <v>288000</v>
      </c>
      <c r="G13" s="62">
        <v>450000</v>
      </c>
      <c r="H13" s="63">
        <v>1344000</v>
      </c>
      <c r="I13" s="63">
        <v>1950000</v>
      </c>
      <c r="J13" s="63">
        <v>96000</v>
      </c>
      <c r="K13" s="63">
        <v>75000</v>
      </c>
      <c r="L13" s="180">
        <f t="shared" si="2"/>
        <v>1728000</v>
      </c>
      <c r="M13" s="180">
        <f t="shared" si="3"/>
        <v>2475000</v>
      </c>
    </row>
    <row r="14" spans="1:13" ht="15.75" x14ac:dyDescent="0.25">
      <c r="A14" s="60">
        <v>8</v>
      </c>
      <c r="B14" s="61" t="s">
        <v>285</v>
      </c>
      <c r="C14" s="88" t="s">
        <v>286</v>
      </c>
      <c r="D14" s="104">
        <f t="shared" si="0"/>
        <v>0</v>
      </c>
      <c r="E14" s="104">
        <f t="shared" si="1"/>
        <v>0</v>
      </c>
      <c r="F14" s="62"/>
      <c r="G14" s="62"/>
      <c r="H14" s="63"/>
      <c r="I14" s="63"/>
      <c r="J14" s="63"/>
      <c r="K14" s="63"/>
      <c r="L14" s="180">
        <f t="shared" si="2"/>
        <v>0</v>
      </c>
      <c r="M14" s="180">
        <f t="shared" si="3"/>
        <v>0</v>
      </c>
    </row>
    <row r="15" spans="1:13" ht="15.75" x14ac:dyDescent="0.25">
      <c r="A15" s="60">
        <v>9</v>
      </c>
      <c r="B15" s="61" t="s">
        <v>287</v>
      </c>
      <c r="C15" s="88" t="s">
        <v>79</v>
      </c>
      <c r="D15" s="104">
        <f t="shared" si="0"/>
        <v>273815</v>
      </c>
      <c r="E15" s="104">
        <f t="shared" si="1"/>
        <v>425000</v>
      </c>
      <c r="F15" s="62"/>
      <c r="G15" s="62"/>
      <c r="H15" s="63">
        <v>273815</v>
      </c>
      <c r="I15" s="63">
        <v>425000</v>
      </c>
      <c r="J15" s="63"/>
      <c r="K15" s="63"/>
      <c r="L15" s="180">
        <f t="shared" si="2"/>
        <v>273815</v>
      </c>
      <c r="M15" s="180">
        <f t="shared" si="3"/>
        <v>425000</v>
      </c>
    </row>
    <row r="16" spans="1:13" ht="15.75" x14ac:dyDescent="0.25">
      <c r="A16" s="60">
        <v>10</v>
      </c>
      <c r="B16" s="61" t="s">
        <v>288</v>
      </c>
      <c r="C16" s="88" t="s">
        <v>81</v>
      </c>
      <c r="D16" s="104">
        <f t="shared" si="0"/>
        <v>0</v>
      </c>
      <c r="E16" s="104">
        <f t="shared" si="1"/>
        <v>0</v>
      </c>
      <c r="F16" s="62"/>
      <c r="G16" s="62"/>
      <c r="H16" s="63"/>
      <c r="I16" s="63"/>
      <c r="J16" s="63"/>
      <c r="K16" s="63"/>
      <c r="L16" s="180">
        <f t="shared" si="2"/>
        <v>0</v>
      </c>
      <c r="M16" s="180">
        <f t="shared" si="3"/>
        <v>0</v>
      </c>
    </row>
    <row r="17" spans="1:13" ht="15.75" x14ac:dyDescent="0.25">
      <c r="A17" s="60">
        <v>11</v>
      </c>
      <c r="B17" s="61" t="s">
        <v>289</v>
      </c>
      <c r="C17" s="88" t="s">
        <v>290</v>
      </c>
      <c r="D17" s="104">
        <f t="shared" si="0"/>
        <v>0</v>
      </c>
      <c r="E17" s="104">
        <f t="shared" si="1"/>
        <v>0</v>
      </c>
      <c r="F17" s="62"/>
      <c r="G17" s="62"/>
      <c r="H17" s="63"/>
      <c r="I17" s="63"/>
      <c r="J17" s="63"/>
      <c r="K17" s="63"/>
      <c r="L17" s="180">
        <f t="shared" si="2"/>
        <v>0</v>
      </c>
      <c r="M17" s="180">
        <f t="shared" si="3"/>
        <v>0</v>
      </c>
    </row>
    <row r="18" spans="1:13" ht="15.75" x14ac:dyDescent="0.25">
      <c r="A18" s="60">
        <v>12</v>
      </c>
      <c r="B18" s="61" t="s">
        <v>291</v>
      </c>
      <c r="C18" s="88" t="s">
        <v>292</v>
      </c>
      <c r="D18" s="104">
        <f t="shared" si="0"/>
        <v>0</v>
      </c>
      <c r="E18" s="104">
        <f t="shared" si="1"/>
        <v>0</v>
      </c>
      <c r="F18" s="62"/>
      <c r="G18" s="62"/>
      <c r="H18" s="63"/>
      <c r="I18" s="63"/>
      <c r="J18" s="63"/>
      <c r="K18" s="63"/>
      <c r="L18" s="180">
        <f t="shared" si="2"/>
        <v>0</v>
      </c>
      <c r="M18" s="180">
        <f t="shared" si="3"/>
        <v>0</v>
      </c>
    </row>
    <row r="19" spans="1:13" ht="30" x14ac:dyDescent="0.25">
      <c r="A19" s="60">
        <v>13</v>
      </c>
      <c r="B19" s="61" t="s">
        <v>293</v>
      </c>
      <c r="C19" s="88" t="s">
        <v>83</v>
      </c>
      <c r="D19" s="104">
        <f t="shared" si="0"/>
        <v>1145059</v>
      </c>
      <c r="E19" s="104">
        <f t="shared" si="1"/>
        <v>216000</v>
      </c>
      <c r="F19" s="62">
        <v>36000</v>
      </c>
      <c r="G19" s="62">
        <v>36000</v>
      </c>
      <c r="H19" s="63">
        <v>1097059</v>
      </c>
      <c r="I19" s="63">
        <v>168000</v>
      </c>
      <c r="J19" s="63">
        <v>12000</v>
      </c>
      <c r="K19" s="63">
        <v>12000</v>
      </c>
      <c r="L19" s="180">
        <f t="shared" si="2"/>
        <v>1145059</v>
      </c>
      <c r="M19" s="180">
        <f t="shared" si="3"/>
        <v>216000</v>
      </c>
    </row>
    <row r="20" spans="1:13" ht="29.25" x14ac:dyDescent="0.25">
      <c r="A20" s="65">
        <v>14</v>
      </c>
      <c r="B20" s="66" t="s">
        <v>294</v>
      </c>
      <c r="C20" s="181" t="s">
        <v>87</v>
      </c>
      <c r="D20" s="104">
        <f t="shared" si="0"/>
        <v>64173566</v>
      </c>
      <c r="E20" s="104">
        <f t="shared" si="1"/>
        <v>69578874</v>
      </c>
      <c r="F20" s="67">
        <f t="shared" ref="F20:K20" si="4">SUM(F7:F19)</f>
        <v>324000</v>
      </c>
      <c r="G20" s="67">
        <f t="shared" si="4"/>
        <v>10296930</v>
      </c>
      <c r="H20" s="67">
        <f t="shared" si="4"/>
        <v>63741566</v>
      </c>
      <c r="I20" s="67">
        <f t="shared" si="4"/>
        <v>57358794</v>
      </c>
      <c r="J20" s="67">
        <f t="shared" si="4"/>
        <v>108000</v>
      </c>
      <c r="K20" s="67">
        <f t="shared" si="4"/>
        <v>1923150</v>
      </c>
      <c r="L20" s="180">
        <f t="shared" si="2"/>
        <v>64173566</v>
      </c>
      <c r="M20" s="180">
        <f t="shared" si="3"/>
        <v>69578874</v>
      </c>
    </row>
    <row r="21" spans="1:13" ht="19.5" customHeight="1" x14ac:dyDescent="0.25">
      <c r="A21" s="60">
        <v>15</v>
      </c>
      <c r="B21" s="64" t="s">
        <v>383</v>
      </c>
      <c r="C21" s="88" t="s">
        <v>93</v>
      </c>
      <c r="D21" s="104">
        <f t="shared" si="0"/>
        <v>0</v>
      </c>
      <c r="E21" s="104">
        <f t="shared" si="1"/>
        <v>0</v>
      </c>
      <c r="F21" s="62"/>
      <c r="G21" s="62"/>
      <c r="H21" s="63"/>
      <c r="I21" s="63"/>
      <c r="J21" s="63"/>
      <c r="K21" s="63"/>
      <c r="L21" s="180">
        <f t="shared" si="2"/>
        <v>0</v>
      </c>
      <c r="M21" s="180">
        <f t="shared" si="3"/>
        <v>0</v>
      </c>
    </row>
    <row r="22" spans="1:13" ht="29.25" x14ac:dyDescent="0.25">
      <c r="A22" s="65">
        <v>16</v>
      </c>
      <c r="B22" s="66" t="s">
        <v>296</v>
      </c>
      <c r="C22" s="181" t="s">
        <v>97</v>
      </c>
      <c r="D22" s="104">
        <f t="shared" si="0"/>
        <v>0</v>
      </c>
      <c r="E22" s="104">
        <f t="shared" si="1"/>
        <v>1185300</v>
      </c>
      <c r="F22" s="67">
        <f t="shared" ref="F22" si="5">SUM(F21:F21)</f>
        <v>0</v>
      </c>
      <c r="G22" s="67">
        <f t="shared" ref="G22:K22" si="6">SUM(G21:G21)</f>
        <v>0</v>
      </c>
      <c r="H22" s="67"/>
      <c r="I22" s="67">
        <v>1185300</v>
      </c>
      <c r="J22" s="67"/>
      <c r="K22" s="67">
        <f t="shared" si="6"/>
        <v>0</v>
      </c>
      <c r="L22" s="180">
        <f t="shared" si="2"/>
        <v>0</v>
      </c>
      <c r="M22" s="180">
        <f t="shared" si="3"/>
        <v>1185300</v>
      </c>
    </row>
    <row r="23" spans="1:13" s="41" customFormat="1" ht="15.75" x14ac:dyDescent="0.25">
      <c r="A23" s="68">
        <v>17</v>
      </c>
      <c r="B23" s="69" t="s">
        <v>297</v>
      </c>
      <c r="C23" s="182" t="s">
        <v>99</v>
      </c>
      <c r="D23" s="104">
        <f t="shared" si="0"/>
        <v>64173566</v>
      </c>
      <c r="E23" s="104">
        <f t="shared" si="1"/>
        <v>70764174</v>
      </c>
      <c r="F23" s="70">
        <f t="shared" ref="F23" si="7">SUM(F22,F20)</f>
        <v>324000</v>
      </c>
      <c r="G23" s="70">
        <f t="shared" ref="G23:K23" si="8">SUM(G22,G20)</f>
        <v>10296930</v>
      </c>
      <c r="H23" s="70">
        <f t="shared" si="8"/>
        <v>63741566</v>
      </c>
      <c r="I23" s="70">
        <f t="shared" si="8"/>
        <v>58544094</v>
      </c>
      <c r="J23" s="70">
        <f t="shared" si="8"/>
        <v>108000</v>
      </c>
      <c r="K23" s="70">
        <f t="shared" si="8"/>
        <v>1923150</v>
      </c>
      <c r="L23" s="180">
        <f t="shared" si="2"/>
        <v>64173566</v>
      </c>
      <c r="M23" s="180">
        <f t="shared" si="3"/>
        <v>70764174</v>
      </c>
    </row>
    <row r="24" spans="1:13" s="42" customFormat="1" ht="29.25" x14ac:dyDescent="0.25">
      <c r="A24" s="68">
        <v>18</v>
      </c>
      <c r="B24" s="69" t="s">
        <v>298</v>
      </c>
      <c r="C24" s="182" t="s">
        <v>101</v>
      </c>
      <c r="D24" s="104">
        <f t="shared" si="0"/>
        <v>10916538</v>
      </c>
      <c r="E24" s="104">
        <f t="shared" si="1"/>
        <v>10685370.470000001</v>
      </c>
      <c r="F24" s="70"/>
      <c r="G24" s="70">
        <f>(G7+G8+G13)*0.155</f>
        <v>1590444.15</v>
      </c>
      <c r="H24" s="71">
        <v>10916538</v>
      </c>
      <c r="I24" s="70">
        <f>(I7+I8+I13+I12)*0.155</f>
        <v>8798698.0700000003</v>
      </c>
      <c r="J24" s="71"/>
      <c r="K24" s="70">
        <f>(K7+K8+K13)*0.155</f>
        <v>296228.25</v>
      </c>
      <c r="L24" s="180">
        <f t="shared" si="2"/>
        <v>10916538</v>
      </c>
      <c r="M24" s="180">
        <f t="shared" si="3"/>
        <v>10685370.470000001</v>
      </c>
    </row>
    <row r="25" spans="1:13" s="42" customFormat="1" ht="62.25" customHeight="1" x14ac:dyDescent="0.3">
      <c r="A25" s="1024" t="s">
        <v>443</v>
      </c>
      <c r="B25" s="1025"/>
      <c r="C25" s="1025"/>
      <c r="D25" s="104">
        <f t="shared" si="0"/>
        <v>75090104</v>
      </c>
      <c r="E25" s="104">
        <f t="shared" si="1"/>
        <v>81449544.469999999</v>
      </c>
      <c r="F25" s="72">
        <f t="shared" ref="F25" si="9">SUM(F24,F23)</f>
        <v>324000</v>
      </c>
      <c r="G25" s="72">
        <f t="shared" ref="G25:K25" si="10">SUM(G24,G23)</f>
        <v>11887374.15</v>
      </c>
      <c r="H25" s="72">
        <f t="shared" si="10"/>
        <v>74658104</v>
      </c>
      <c r="I25" s="72">
        <f t="shared" si="10"/>
        <v>67342792.069999993</v>
      </c>
      <c r="J25" s="72">
        <f t="shared" si="10"/>
        <v>108000</v>
      </c>
      <c r="K25" s="72">
        <f t="shared" si="10"/>
        <v>2219378.25</v>
      </c>
      <c r="L25" s="180">
        <f t="shared" si="2"/>
        <v>75090104</v>
      </c>
      <c r="M25" s="180">
        <f t="shared" si="3"/>
        <v>81449544.469999999</v>
      </c>
    </row>
    <row r="26" spans="1:13" s="44" customFormat="1" ht="15.75" x14ac:dyDescent="0.25">
      <c r="A26" s="73">
        <v>19</v>
      </c>
      <c r="B26" s="74" t="s">
        <v>299</v>
      </c>
      <c r="C26" s="183" t="s">
        <v>107</v>
      </c>
      <c r="D26" s="104">
        <f t="shared" si="0"/>
        <v>312845</v>
      </c>
      <c r="E26" s="104">
        <f t="shared" si="1"/>
        <v>0</v>
      </c>
      <c r="F26" s="75">
        <f t="shared" ref="F26" si="11">SUM(F27:F30)</f>
        <v>0</v>
      </c>
      <c r="G26" s="75">
        <f t="shared" ref="G26:K26" si="12">SUM(G27:G30)</f>
        <v>0</v>
      </c>
      <c r="H26" s="75">
        <f t="shared" si="12"/>
        <v>0</v>
      </c>
      <c r="I26" s="75">
        <f t="shared" si="12"/>
        <v>0</v>
      </c>
      <c r="J26" s="75">
        <f t="shared" si="12"/>
        <v>312845</v>
      </c>
      <c r="K26" s="75">
        <f t="shared" si="12"/>
        <v>0</v>
      </c>
      <c r="L26" s="180">
        <f t="shared" si="2"/>
        <v>312845</v>
      </c>
      <c r="M26" s="180">
        <f t="shared" si="3"/>
        <v>0</v>
      </c>
    </row>
    <row r="27" spans="1:13" ht="15.75" x14ac:dyDescent="0.25">
      <c r="A27" s="60">
        <v>20</v>
      </c>
      <c r="B27" s="76" t="s">
        <v>242</v>
      </c>
      <c r="C27" s="88"/>
      <c r="D27" s="104">
        <f t="shared" si="0"/>
        <v>0</v>
      </c>
      <c r="E27" s="104">
        <f t="shared" si="1"/>
        <v>0</v>
      </c>
      <c r="F27" s="62"/>
      <c r="G27" s="62"/>
      <c r="H27" s="63"/>
      <c r="I27" s="63"/>
      <c r="J27" s="63"/>
      <c r="K27" s="63"/>
      <c r="L27" s="180">
        <f t="shared" si="2"/>
        <v>0</v>
      </c>
      <c r="M27" s="180">
        <f t="shared" si="3"/>
        <v>0</v>
      </c>
    </row>
    <row r="28" spans="1:13" ht="15.75" x14ac:dyDescent="0.25">
      <c r="A28" s="60">
        <v>21</v>
      </c>
      <c r="B28" s="76" t="s">
        <v>300</v>
      </c>
      <c r="C28" s="88"/>
      <c r="D28" s="104">
        <f t="shared" si="0"/>
        <v>0</v>
      </c>
      <c r="E28" s="104">
        <f t="shared" si="1"/>
        <v>0</v>
      </c>
      <c r="F28" s="62"/>
      <c r="G28" s="62"/>
      <c r="H28" s="63"/>
      <c r="I28" s="63"/>
      <c r="J28" s="63"/>
      <c r="K28" s="63"/>
      <c r="L28" s="180">
        <f t="shared" si="2"/>
        <v>0</v>
      </c>
      <c r="M28" s="180">
        <f t="shared" si="3"/>
        <v>0</v>
      </c>
    </row>
    <row r="29" spans="1:13" ht="30" x14ac:dyDescent="0.25">
      <c r="A29" s="60">
        <v>22</v>
      </c>
      <c r="B29" s="76" t="s">
        <v>556</v>
      </c>
      <c r="C29" s="88"/>
      <c r="D29" s="104">
        <f t="shared" si="0"/>
        <v>312845</v>
      </c>
      <c r="E29" s="104">
        <f t="shared" si="1"/>
        <v>0</v>
      </c>
      <c r="F29" s="62"/>
      <c r="G29" s="62"/>
      <c r="H29" s="63"/>
      <c r="I29" s="63"/>
      <c r="J29" s="63">
        <v>312845</v>
      </c>
      <c r="K29" s="63"/>
      <c r="L29" s="180">
        <f t="shared" si="2"/>
        <v>312845</v>
      </c>
      <c r="M29" s="180">
        <f t="shared" si="3"/>
        <v>0</v>
      </c>
    </row>
    <row r="30" spans="1:13" ht="15.75" x14ac:dyDescent="0.25">
      <c r="A30" s="60">
        <v>23</v>
      </c>
      <c r="B30" s="76" t="s">
        <v>384</v>
      </c>
      <c r="C30" s="88"/>
      <c r="D30" s="104">
        <f t="shared" si="0"/>
        <v>0</v>
      </c>
      <c r="E30" s="104">
        <f t="shared" si="1"/>
        <v>0</v>
      </c>
      <c r="F30" s="62"/>
      <c r="G30" s="62"/>
      <c r="H30" s="63"/>
      <c r="I30" s="63"/>
      <c r="J30" s="63"/>
      <c r="K30" s="63"/>
      <c r="L30" s="180">
        <f t="shared" si="2"/>
        <v>0</v>
      </c>
      <c r="M30" s="180">
        <f t="shared" si="3"/>
        <v>0</v>
      </c>
    </row>
    <row r="31" spans="1:13" s="44" customFormat="1" ht="15.75" x14ac:dyDescent="0.25">
      <c r="A31" s="73">
        <v>24</v>
      </c>
      <c r="B31" s="74" t="s">
        <v>302</v>
      </c>
      <c r="C31" s="183" t="s">
        <v>110</v>
      </c>
      <c r="D31" s="104">
        <f t="shared" si="0"/>
        <v>882542</v>
      </c>
      <c r="E31" s="104">
        <f t="shared" si="1"/>
        <v>500000</v>
      </c>
      <c r="F31" s="75">
        <f t="shared" ref="F31:K31" si="13">SUM(F32:F37)</f>
        <v>0</v>
      </c>
      <c r="G31" s="75">
        <f t="shared" si="13"/>
        <v>30000</v>
      </c>
      <c r="H31" s="75">
        <f t="shared" si="13"/>
        <v>0</v>
      </c>
      <c r="I31" s="75">
        <f t="shared" si="13"/>
        <v>240000</v>
      </c>
      <c r="J31" s="75">
        <f t="shared" si="13"/>
        <v>882542</v>
      </c>
      <c r="K31" s="75">
        <f t="shared" si="13"/>
        <v>230000</v>
      </c>
      <c r="L31" s="180">
        <f t="shared" si="2"/>
        <v>882542</v>
      </c>
      <c r="M31" s="180">
        <f t="shared" si="3"/>
        <v>500000</v>
      </c>
    </row>
    <row r="32" spans="1:13" ht="15.75" x14ac:dyDescent="0.25">
      <c r="A32" s="60">
        <v>25</v>
      </c>
      <c r="B32" s="76" t="s">
        <v>303</v>
      </c>
      <c r="C32" s="88"/>
      <c r="D32" s="104">
        <f t="shared" si="0"/>
        <v>0</v>
      </c>
      <c r="E32" s="104">
        <f t="shared" si="1"/>
        <v>0</v>
      </c>
      <c r="F32" s="62"/>
      <c r="G32" s="62"/>
      <c r="H32" s="63"/>
      <c r="I32" s="63"/>
      <c r="J32" s="63"/>
      <c r="K32" s="63"/>
      <c r="L32" s="180">
        <f t="shared" si="2"/>
        <v>0</v>
      </c>
      <c r="M32" s="180">
        <f t="shared" si="3"/>
        <v>0</v>
      </c>
    </row>
    <row r="33" spans="1:13" ht="15.75" x14ac:dyDescent="0.25">
      <c r="A33" s="60">
        <v>26</v>
      </c>
      <c r="B33" s="76" t="s">
        <v>304</v>
      </c>
      <c r="C33" s="88"/>
      <c r="D33" s="104">
        <f t="shared" si="0"/>
        <v>0</v>
      </c>
      <c r="E33" s="104">
        <f t="shared" si="1"/>
        <v>270000</v>
      </c>
      <c r="F33" s="62"/>
      <c r="G33" s="62">
        <v>30000</v>
      </c>
      <c r="H33" s="63"/>
      <c r="I33" s="63">
        <v>240000</v>
      </c>
      <c r="J33" s="63"/>
      <c r="K33" s="63"/>
      <c r="L33" s="180">
        <f t="shared" si="2"/>
        <v>0</v>
      </c>
      <c r="M33" s="180">
        <f t="shared" si="3"/>
        <v>270000</v>
      </c>
    </row>
    <row r="34" spans="1:13" ht="15.75" x14ac:dyDescent="0.25">
      <c r="A34" s="60">
        <v>27</v>
      </c>
      <c r="B34" s="76" t="s">
        <v>305</v>
      </c>
      <c r="C34" s="88"/>
      <c r="D34" s="104">
        <f t="shared" si="0"/>
        <v>882542</v>
      </c>
      <c r="E34" s="104">
        <f t="shared" si="1"/>
        <v>0</v>
      </c>
      <c r="F34" s="62"/>
      <c r="G34" s="62"/>
      <c r="H34" s="63"/>
      <c r="I34" s="63"/>
      <c r="J34" s="63">
        <v>882542</v>
      </c>
      <c r="K34" s="63"/>
      <c r="L34" s="180">
        <f t="shared" si="2"/>
        <v>882542</v>
      </c>
      <c r="M34" s="180">
        <f t="shared" si="3"/>
        <v>0</v>
      </c>
    </row>
    <row r="35" spans="1:13" ht="15.75" x14ac:dyDescent="0.25">
      <c r="A35" s="60">
        <v>28</v>
      </c>
      <c r="B35" s="76" t="s">
        <v>306</v>
      </c>
      <c r="C35" s="88"/>
      <c r="D35" s="104">
        <f t="shared" si="0"/>
        <v>0</v>
      </c>
      <c r="E35" s="104">
        <f t="shared" si="1"/>
        <v>230000</v>
      </c>
      <c r="F35" s="62"/>
      <c r="G35" s="62"/>
      <c r="H35" s="63"/>
      <c r="I35" s="63"/>
      <c r="J35" s="63"/>
      <c r="K35" s="63">
        <v>230000</v>
      </c>
      <c r="L35" s="180">
        <f t="shared" si="2"/>
        <v>0</v>
      </c>
      <c r="M35" s="180">
        <f t="shared" si="3"/>
        <v>230000</v>
      </c>
    </row>
    <row r="36" spans="1:13" ht="15.75" x14ac:dyDescent="0.25">
      <c r="A36" s="60">
        <v>29</v>
      </c>
      <c r="B36" s="76" t="s">
        <v>307</v>
      </c>
      <c r="C36" s="88"/>
      <c r="D36" s="104">
        <f t="shared" si="0"/>
        <v>0</v>
      </c>
      <c r="E36" s="104">
        <f t="shared" si="1"/>
        <v>0</v>
      </c>
      <c r="F36" s="62"/>
      <c r="G36" s="62"/>
      <c r="H36" s="63"/>
      <c r="I36" s="63"/>
      <c r="J36" s="63"/>
      <c r="K36" s="63"/>
      <c r="L36" s="180">
        <f t="shared" si="2"/>
        <v>0</v>
      </c>
      <c r="M36" s="180">
        <f t="shared" si="3"/>
        <v>0</v>
      </c>
    </row>
    <row r="37" spans="1:13" ht="15.75" x14ac:dyDescent="0.25">
      <c r="A37" s="60">
        <v>30</v>
      </c>
      <c r="B37" s="76" t="s">
        <v>249</v>
      </c>
      <c r="C37" s="88"/>
      <c r="D37" s="104">
        <f t="shared" si="0"/>
        <v>0</v>
      </c>
      <c r="E37" s="104">
        <f t="shared" si="1"/>
        <v>0</v>
      </c>
      <c r="F37" s="62"/>
      <c r="G37" s="62"/>
      <c r="H37" s="63"/>
      <c r="I37" s="63"/>
      <c r="J37" s="63"/>
      <c r="K37" s="63"/>
      <c r="L37" s="180">
        <f t="shared" si="2"/>
        <v>0</v>
      </c>
      <c r="M37" s="180">
        <f t="shared" si="3"/>
        <v>0</v>
      </c>
    </row>
    <row r="38" spans="1:13" s="44" customFormat="1" ht="15.75" x14ac:dyDescent="0.25">
      <c r="A38" s="77">
        <v>31</v>
      </c>
      <c r="B38" s="78" t="s">
        <v>308</v>
      </c>
      <c r="C38" s="184" t="s">
        <v>116</v>
      </c>
      <c r="D38" s="104">
        <f t="shared" si="0"/>
        <v>1195387</v>
      </c>
      <c r="E38" s="104">
        <f t="shared" si="1"/>
        <v>500000</v>
      </c>
      <c r="F38" s="79">
        <f t="shared" ref="F38:K38" si="14">SUM(F26,F31)</f>
        <v>0</v>
      </c>
      <c r="G38" s="79">
        <f t="shared" si="14"/>
        <v>30000</v>
      </c>
      <c r="H38" s="79">
        <f t="shared" si="14"/>
        <v>0</v>
      </c>
      <c r="I38" s="79">
        <f t="shared" si="14"/>
        <v>240000</v>
      </c>
      <c r="J38" s="79">
        <f t="shared" si="14"/>
        <v>1195387</v>
      </c>
      <c r="K38" s="79">
        <f t="shared" si="14"/>
        <v>230000</v>
      </c>
      <c r="L38" s="180">
        <f t="shared" si="2"/>
        <v>1195387</v>
      </c>
      <c r="M38" s="180">
        <f t="shared" si="3"/>
        <v>500000</v>
      </c>
    </row>
    <row r="39" spans="1:13" ht="29.25" x14ac:dyDescent="0.25">
      <c r="A39" s="80">
        <v>32</v>
      </c>
      <c r="B39" s="81" t="s">
        <v>309</v>
      </c>
      <c r="C39" s="185" t="s">
        <v>120</v>
      </c>
      <c r="D39" s="104">
        <f t="shared" si="0"/>
        <v>31900</v>
      </c>
      <c r="E39" s="104">
        <f t="shared" si="1"/>
        <v>70400</v>
      </c>
      <c r="F39" s="82">
        <f t="shared" ref="F39:K39" si="15">F40</f>
        <v>0</v>
      </c>
      <c r="G39" s="82">
        <f t="shared" si="15"/>
        <v>0</v>
      </c>
      <c r="H39" s="82">
        <f t="shared" si="15"/>
        <v>0</v>
      </c>
      <c r="I39" s="82">
        <f t="shared" si="15"/>
        <v>0</v>
      </c>
      <c r="J39" s="82">
        <f t="shared" si="15"/>
        <v>31900</v>
      </c>
      <c r="K39" s="82">
        <f t="shared" si="15"/>
        <v>70400</v>
      </c>
      <c r="L39" s="180">
        <f t="shared" si="2"/>
        <v>31900</v>
      </c>
      <c r="M39" s="180">
        <f t="shared" si="3"/>
        <v>70400</v>
      </c>
    </row>
    <row r="40" spans="1:13" ht="15.75" x14ac:dyDescent="0.25">
      <c r="A40" s="60">
        <v>33</v>
      </c>
      <c r="B40" s="83" t="s">
        <v>310</v>
      </c>
      <c r="C40" s="88"/>
      <c r="D40" s="104">
        <f t="shared" si="0"/>
        <v>31900</v>
      </c>
      <c r="E40" s="104">
        <f t="shared" si="1"/>
        <v>70400</v>
      </c>
      <c r="F40" s="62"/>
      <c r="G40" s="62"/>
      <c r="H40" s="63"/>
      <c r="I40" s="63"/>
      <c r="J40" s="63">
        <v>31900</v>
      </c>
      <c r="K40" s="63">
        <v>70400</v>
      </c>
      <c r="L40" s="180">
        <f t="shared" si="2"/>
        <v>31900</v>
      </c>
      <c r="M40" s="180">
        <f t="shared" si="3"/>
        <v>70400</v>
      </c>
    </row>
    <row r="41" spans="1:13" ht="29.25" x14ac:dyDescent="0.25">
      <c r="A41" s="80">
        <v>34</v>
      </c>
      <c r="B41" s="81" t="s">
        <v>311</v>
      </c>
      <c r="C41" s="185" t="s">
        <v>123</v>
      </c>
      <c r="D41" s="104">
        <f t="shared" si="0"/>
        <v>155755</v>
      </c>
      <c r="E41" s="104">
        <f t="shared" si="1"/>
        <v>184800</v>
      </c>
      <c r="F41" s="82">
        <f t="shared" ref="F41:K41" si="16">SUM(F42:F43)</f>
        <v>0</v>
      </c>
      <c r="G41" s="82">
        <f t="shared" si="16"/>
        <v>34800</v>
      </c>
      <c r="H41" s="82">
        <f t="shared" si="16"/>
        <v>0</v>
      </c>
      <c r="I41" s="82">
        <f t="shared" si="16"/>
        <v>0</v>
      </c>
      <c r="J41" s="82">
        <f t="shared" si="16"/>
        <v>155755</v>
      </c>
      <c r="K41" s="82">
        <f t="shared" si="16"/>
        <v>150000</v>
      </c>
      <c r="L41" s="180">
        <f t="shared" si="2"/>
        <v>155755</v>
      </c>
      <c r="M41" s="180">
        <f t="shared" si="3"/>
        <v>184800</v>
      </c>
    </row>
    <row r="42" spans="1:13" ht="15.75" x14ac:dyDescent="0.25">
      <c r="A42" s="60">
        <v>35</v>
      </c>
      <c r="B42" s="76" t="s">
        <v>363</v>
      </c>
      <c r="C42" s="88"/>
      <c r="D42" s="104">
        <f t="shared" si="0"/>
        <v>0</v>
      </c>
      <c r="E42" s="104">
        <f t="shared" si="1"/>
        <v>0</v>
      </c>
      <c r="F42" s="62"/>
      <c r="G42" s="62"/>
      <c r="H42" s="63"/>
      <c r="I42" s="63"/>
      <c r="J42" s="63"/>
      <c r="K42" s="63"/>
      <c r="L42" s="180">
        <f t="shared" si="2"/>
        <v>0</v>
      </c>
      <c r="M42" s="180">
        <f t="shared" si="3"/>
        <v>0</v>
      </c>
    </row>
    <row r="43" spans="1:13" ht="15.75" x14ac:dyDescent="0.25">
      <c r="A43" s="60">
        <v>36</v>
      </c>
      <c r="B43" s="76" t="s">
        <v>364</v>
      </c>
      <c r="C43" s="88"/>
      <c r="D43" s="104">
        <f t="shared" si="0"/>
        <v>155755</v>
      </c>
      <c r="E43" s="104">
        <f t="shared" si="1"/>
        <v>184800</v>
      </c>
      <c r="F43" s="62"/>
      <c r="G43" s="62">
        <v>34800</v>
      </c>
      <c r="H43" s="63"/>
      <c r="I43" s="63"/>
      <c r="J43" s="63">
        <v>155755</v>
      </c>
      <c r="K43" s="63">
        <v>150000</v>
      </c>
      <c r="L43" s="180">
        <f t="shared" si="2"/>
        <v>155755</v>
      </c>
      <c r="M43" s="180">
        <f t="shared" si="3"/>
        <v>184800</v>
      </c>
    </row>
    <row r="44" spans="1:13" ht="15.75" x14ac:dyDescent="0.25">
      <c r="A44" s="77">
        <v>37</v>
      </c>
      <c r="B44" s="78" t="s">
        <v>126</v>
      </c>
      <c r="C44" s="184" t="s">
        <v>127</v>
      </c>
      <c r="D44" s="104">
        <f t="shared" si="0"/>
        <v>187655</v>
      </c>
      <c r="E44" s="104">
        <f t="shared" si="1"/>
        <v>255200</v>
      </c>
      <c r="F44" s="79">
        <f t="shared" ref="F44" si="17">SUM(F39,F41)</f>
        <v>0</v>
      </c>
      <c r="G44" s="79">
        <f t="shared" ref="G44:K44" si="18">SUM(G39,G41)</f>
        <v>34800</v>
      </c>
      <c r="H44" s="79">
        <f t="shared" si="18"/>
        <v>0</v>
      </c>
      <c r="I44" s="79">
        <f t="shared" si="18"/>
        <v>0</v>
      </c>
      <c r="J44" s="79">
        <f t="shared" si="18"/>
        <v>187655</v>
      </c>
      <c r="K44" s="79">
        <f t="shared" si="18"/>
        <v>220400</v>
      </c>
      <c r="L44" s="180">
        <f t="shared" si="2"/>
        <v>187655</v>
      </c>
      <c r="M44" s="180">
        <f t="shared" si="3"/>
        <v>255200</v>
      </c>
    </row>
    <row r="45" spans="1:13" ht="15.75" x14ac:dyDescent="0.25">
      <c r="A45" s="80">
        <v>38</v>
      </c>
      <c r="B45" s="81" t="s">
        <v>315</v>
      </c>
      <c r="C45" s="185" t="s">
        <v>130</v>
      </c>
      <c r="D45" s="104">
        <f t="shared" si="0"/>
        <v>1959034</v>
      </c>
      <c r="E45" s="104">
        <f t="shared" si="1"/>
        <v>1950000</v>
      </c>
      <c r="F45" s="82">
        <f t="shared" ref="F45" si="19">SUM(F46:F48)</f>
        <v>0</v>
      </c>
      <c r="G45" s="82">
        <f t="shared" ref="G45:K45" si="20">SUM(G46:G48)</f>
        <v>100000</v>
      </c>
      <c r="H45" s="82">
        <f t="shared" si="20"/>
        <v>0</v>
      </c>
      <c r="I45" s="82">
        <f t="shared" si="20"/>
        <v>0</v>
      </c>
      <c r="J45" s="82">
        <f t="shared" si="20"/>
        <v>1959034</v>
      </c>
      <c r="K45" s="82">
        <f t="shared" si="20"/>
        <v>1850000</v>
      </c>
      <c r="L45" s="180">
        <f t="shared" si="2"/>
        <v>1959034</v>
      </c>
      <c r="M45" s="180">
        <f t="shared" si="3"/>
        <v>1950000</v>
      </c>
    </row>
    <row r="46" spans="1:13" ht="15.75" x14ac:dyDescent="0.25">
      <c r="A46" s="60">
        <v>39</v>
      </c>
      <c r="B46" s="83" t="s">
        <v>316</v>
      </c>
      <c r="C46" s="88"/>
      <c r="D46" s="104">
        <f t="shared" si="0"/>
        <v>0</v>
      </c>
      <c r="E46" s="104">
        <f t="shared" si="1"/>
        <v>300000</v>
      </c>
      <c r="F46" s="62"/>
      <c r="G46" s="62">
        <v>100000</v>
      </c>
      <c r="H46" s="63"/>
      <c r="I46" s="63"/>
      <c r="J46" s="63"/>
      <c r="K46" s="63">
        <v>200000</v>
      </c>
      <c r="L46" s="180">
        <f t="shared" si="2"/>
        <v>0</v>
      </c>
      <c r="M46" s="180">
        <f t="shared" si="3"/>
        <v>300000</v>
      </c>
    </row>
    <row r="47" spans="1:13" ht="15.75" x14ac:dyDescent="0.25">
      <c r="A47" s="60">
        <v>40</v>
      </c>
      <c r="B47" s="83" t="s">
        <v>317</v>
      </c>
      <c r="C47" s="88"/>
      <c r="D47" s="104">
        <f t="shared" si="0"/>
        <v>1959034</v>
      </c>
      <c r="E47" s="104">
        <f t="shared" si="1"/>
        <v>1300000</v>
      </c>
      <c r="F47" s="62"/>
      <c r="G47" s="62"/>
      <c r="H47" s="63"/>
      <c r="I47" s="63"/>
      <c r="J47" s="63">
        <v>1959034</v>
      </c>
      <c r="K47" s="63">
        <v>1300000</v>
      </c>
      <c r="L47" s="180">
        <f t="shared" si="2"/>
        <v>1959034</v>
      </c>
      <c r="M47" s="180">
        <f t="shared" si="3"/>
        <v>1300000</v>
      </c>
    </row>
    <row r="48" spans="1:13" ht="15.75" x14ac:dyDescent="0.25">
      <c r="A48" s="60">
        <v>41</v>
      </c>
      <c r="B48" s="83" t="s">
        <v>318</v>
      </c>
      <c r="C48" s="88"/>
      <c r="D48" s="104">
        <f t="shared" si="0"/>
        <v>0</v>
      </c>
      <c r="E48" s="104">
        <f t="shared" si="1"/>
        <v>350000</v>
      </c>
      <c r="F48" s="62"/>
      <c r="G48" s="62"/>
      <c r="H48" s="63"/>
      <c r="I48" s="63"/>
      <c r="J48" s="63"/>
      <c r="K48" s="63">
        <v>350000</v>
      </c>
      <c r="L48" s="180">
        <f t="shared" si="2"/>
        <v>0</v>
      </c>
      <c r="M48" s="180">
        <f t="shared" si="3"/>
        <v>350000</v>
      </c>
    </row>
    <row r="49" spans="1:13" ht="15.75" x14ac:dyDescent="0.25">
      <c r="A49" s="80">
        <v>42</v>
      </c>
      <c r="B49" s="81" t="s">
        <v>319</v>
      </c>
      <c r="C49" s="185" t="s">
        <v>132</v>
      </c>
      <c r="D49" s="104">
        <f t="shared" si="0"/>
        <v>0</v>
      </c>
      <c r="E49" s="104">
        <f t="shared" si="1"/>
        <v>0</v>
      </c>
      <c r="F49" s="82">
        <f t="shared" ref="F49:K49" si="21">F50</f>
        <v>0</v>
      </c>
      <c r="G49" s="82">
        <f t="shared" si="21"/>
        <v>0</v>
      </c>
      <c r="H49" s="82">
        <f t="shared" si="21"/>
        <v>0</v>
      </c>
      <c r="I49" s="82">
        <f t="shared" si="21"/>
        <v>0</v>
      </c>
      <c r="J49" s="82">
        <f t="shared" si="21"/>
        <v>0</v>
      </c>
      <c r="K49" s="82">
        <f t="shared" si="21"/>
        <v>0</v>
      </c>
      <c r="L49" s="180">
        <f t="shared" si="2"/>
        <v>0</v>
      </c>
      <c r="M49" s="180">
        <f t="shared" si="3"/>
        <v>0</v>
      </c>
    </row>
    <row r="50" spans="1:13" ht="15.75" x14ac:dyDescent="0.25">
      <c r="A50" s="60">
        <v>43</v>
      </c>
      <c r="B50" s="61" t="s">
        <v>320</v>
      </c>
      <c r="C50" s="88"/>
      <c r="D50" s="104">
        <f t="shared" si="0"/>
        <v>0</v>
      </c>
      <c r="E50" s="104">
        <f t="shared" si="1"/>
        <v>0</v>
      </c>
      <c r="F50" s="62"/>
      <c r="G50" s="62"/>
      <c r="H50" s="63"/>
      <c r="I50" s="63"/>
      <c r="J50" s="63"/>
      <c r="K50" s="63"/>
      <c r="L50" s="180">
        <f t="shared" si="2"/>
        <v>0</v>
      </c>
      <c r="M50" s="180">
        <f t="shared" si="3"/>
        <v>0</v>
      </c>
    </row>
    <row r="51" spans="1:13" ht="15.75" x14ac:dyDescent="0.25">
      <c r="A51" s="60">
        <v>44</v>
      </c>
      <c r="B51" s="61" t="s">
        <v>321</v>
      </c>
      <c r="C51" s="88" t="s">
        <v>136</v>
      </c>
      <c r="D51" s="104">
        <f t="shared" si="0"/>
        <v>0</v>
      </c>
      <c r="E51" s="104">
        <f t="shared" si="1"/>
        <v>0</v>
      </c>
      <c r="F51" s="62"/>
      <c r="G51" s="62"/>
      <c r="H51" s="63"/>
      <c r="I51" s="63"/>
      <c r="J51" s="63"/>
      <c r="K51" s="63"/>
      <c r="L51" s="180">
        <f t="shared" si="2"/>
        <v>0</v>
      </c>
      <c r="M51" s="180">
        <f t="shared" si="3"/>
        <v>0</v>
      </c>
    </row>
    <row r="52" spans="1:13" ht="15.75" x14ac:dyDescent="0.25">
      <c r="A52" s="60">
        <v>45</v>
      </c>
      <c r="B52" s="61" t="s">
        <v>550</v>
      </c>
      <c r="C52" s="88" t="s">
        <v>140</v>
      </c>
      <c r="D52" s="104">
        <f t="shared" si="0"/>
        <v>747546</v>
      </c>
      <c r="E52" s="104">
        <f t="shared" si="1"/>
        <v>330000</v>
      </c>
      <c r="F52" s="62"/>
      <c r="G52" s="62"/>
      <c r="H52" s="63"/>
      <c r="I52" s="63"/>
      <c r="J52" s="63">
        <v>747546</v>
      </c>
      <c r="K52" s="63">
        <v>330000</v>
      </c>
      <c r="L52" s="180">
        <f t="shared" si="2"/>
        <v>747546</v>
      </c>
      <c r="M52" s="180">
        <f t="shared" si="3"/>
        <v>330000</v>
      </c>
    </row>
    <row r="53" spans="1:13" ht="15.75" x14ac:dyDescent="0.25">
      <c r="A53" s="60">
        <v>46</v>
      </c>
      <c r="B53" s="61" t="s">
        <v>322</v>
      </c>
      <c r="C53" s="88" t="s">
        <v>323</v>
      </c>
      <c r="D53" s="104">
        <f t="shared" si="0"/>
        <v>0</v>
      </c>
      <c r="E53" s="104">
        <f t="shared" si="1"/>
        <v>0</v>
      </c>
      <c r="F53" s="62"/>
      <c r="G53" s="62"/>
      <c r="H53" s="63"/>
      <c r="I53" s="63"/>
      <c r="J53" s="63"/>
      <c r="K53" s="63"/>
      <c r="L53" s="180">
        <f t="shared" si="2"/>
        <v>0</v>
      </c>
      <c r="M53" s="180">
        <f t="shared" si="3"/>
        <v>0</v>
      </c>
    </row>
    <row r="54" spans="1:13" s="44" customFormat="1" ht="29.25" x14ac:dyDescent="0.25">
      <c r="A54" s="80">
        <v>47</v>
      </c>
      <c r="B54" s="81" t="s">
        <v>324</v>
      </c>
      <c r="C54" s="185" t="s">
        <v>143</v>
      </c>
      <c r="D54" s="104">
        <f t="shared" si="0"/>
        <v>1217000</v>
      </c>
      <c r="E54" s="104">
        <f t="shared" si="1"/>
        <v>1894000</v>
      </c>
      <c r="F54" s="82">
        <f t="shared" ref="F54:K54" si="22">SUM(F55:F57)</f>
        <v>120000</v>
      </c>
      <c r="G54" s="82">
        <f t="shared" si="22"/>
        <v>120000</v>
      </c>
      <c r="H54" s="82">
        <f t="shared" si="22"/>
        <v>0</v>
      </c>
      <c r="I54" s="82">
        <f t="shared" si="22"/>
        <v>310000</v>
      </c>
      <c r="J54" s="82">
        <f t="shared" si="22"/>
        <v>1097000</v>
      </c>
      <c r="K54" s="82">
        <f t="shared" si="22"/>
        <v>1464000</v>
      </c>
      <c r="L54" s="180">
        <f t="shared" si="2"/>
        <v>1217000</v>
      </c>
      <c r="M54" s="180">
        <f t="shared" si="3"/>
        <v>1894000</v>
      </c>
    </row>
    <row r="55" spans="1:13" ht="30" x14ac:dyDescent="0.25">
      <c r="A55" s="60">
        <v>48</v>
      </c>
      <c r="B55" s="76" t="s">
        <v>596</v>
      </c>
      <c r="C55" s="88"/>
      <c r="D55" s="104">
        <f t="shared" si="0"/>
        <v>1097000</v>
      </c>
      <c r="E55" s="104">
        <f t="shared" si="1"/>
        <v>1224000</v>
      </c>
      <c r="F55" s="62"/>
      <c r="G55" s="62"/>
      <c r="H55" s="63"/>
      <c r="I55" s="63"/>
      <c r="J55" s="63">
        <v>1097000</v>
      </c>
      <c r="K55" s="63">
        <v>1224000</v>
      </c>
      <c r="L55" s="180">
        <f t="shared" si="2"/>
        <v>1097000</v>
      </c>
      <c r="M55" s="180">
        <f t="shared" si="3"/>
        <v>1224000</v>
      </c>
    </row>
    <row r="56" spans="1:13" ht="30" x14ac:dyDescent="0.25">
      <c r="A56" s="60">
        <v>49</v>
      </c>
      <c r="B56" s="76" t="s">
        <v>385</v>
      </c>
      <c r="C56" s="88"/>
      <c r="D56" s="104">
        <f t="shared" si="0"/>
        <v>0</v>
      </c>
      <c r="E56" s="104">
        <f t="shared" si="1"/>
        <v>550000</v>
      </c>
      <c r="F56" s="62"/>
      <c r="G56" s="62"/>
      <c r="H56" s="63"/>
      <c r="I56" s="63">
        <v>310000</v>
      </c>
      <c r="J56" s="63"/>
      <c r="K56" s="63">
        <v>240000</v>
      </c>
      <c r="L56" s="180">
        <f t="shared" si="2"/>
        <v>0</v>
      </c>
      <c r="M56" s="180">
        <f t="shared" si="3"/>
        <v>550000</v>
      </c>
    </row>
    <row r="57" spans="1:13" ht="15.75" x14ac:dyDescent="0.25">
      <c r="A57" s="60">
        <v>50</v>
      </c>
      <c r="B57" s="76" t="s">
        <v>736</v>
      </c>
      <c r="C57" s="88"/>
      <c r="D57" s="104">
        <f t="shared" si="0"/>
        <v>120000</v>
      </c>
      <c r="E57" s="104">
        <f t="shared" si="1"/>
        <v>120000</v>
      </c>
      <c r="F57" s="62">
        <v>120000</v>
      </c>
      <c r="G57" s="62">
        <v>120000</v>
      </c>
      <c r="H57" s="63"/>
      <c r="I57" s="63"/>
      <c r="J57" s="63"/>
      <c r="K57" s="63"/>
      <c r="L57" s="180">
        <f t="shared" si="2"/>
        <v>120000</v>
      </c>
      <c r="M57" s="180">
        <f t="shared" si="3"/>
        <v>120000</v>
      </c>
    </row>
    <row r="58" spans="1:13" s="44" customFormat="1" ht="15.75" x14ac:dyDescent="0.25">
      <c r="A58" s="80">
        <v>51</v>
      </c>
      <c r="B58" s="81" t="s">
        <v>325</v>
      </c>
      <c r="C58" s="185" t="s">
        <v>145</v>
      </c>
      <c r="D58" s="104">
        <f t="shared" si="0"/>
        <v>960584</v>
      </c>
      <c r="E58" s="104">
        <f t="shared" si="1"/>
        <v>647000</v>
      </c>
      <c r="F58" s="82">
        <f t="shared" ref="F58:K58" si="23">SUM(F59:F63)</f>
        <v>0</v>
      </c>
      <c r="G58" s="82">
        <f t="shared" si="23"/>
        <v>0</v>
      </c>
      <c r="H58" s="82">
        <f t="shared" si="23"/>
        <v>0</v>
      </c>
      <c r="I58" s="82">
        <f t="shared" si="23"/>
        <v>0</v>
      </c>
      <c r="J58" s="82">
        <f t="shared" si="23"/>
        <v>960584</v>
      </c>
      <c r="K58" s="82">
        <f t="shared" si="23"/>
        <v>647000</v>
      </c>
      <c r="L58" s="180">
        <f t="shared" si="2"/>
        <v>960584</v>
      </c>
      <c r="M58" s="180">
        <f t="shared" si="3"/>
        <v>647000</v>
      </c>
    </row>
    <row r="59" spans="1:13" ht="30" x14ac:dyDescent="0.25">
      <c r="A59" s="60">
        <v>52</v>
      </c>
      <c r="B59" s="76" t="s">
        <v>369</v>
      </c>
      <c r="C59" s="88"/>
      <c r="D59" s="104">
        <f t="shared" si="0"/>
        <v>61596</v>
      </c>
      <c r="E59" s="104">
        <f t="shared" si="1"/>
        <v>60000</v>
      </c>
      <c r="F59" s="62"/>
      <c r="G59" s="62"/>
      <c r="H59" s="63"/>
      <c r="I59" s="63"/>
      <c r="J59" s="63">
        <v>61596</v>
      </c>
      <c r="K59" s="63">
        <v>60000</v>
      </c>
      <c r="L59" s="180">
        <f t="shared" si="2"/>
        <v>61596</v>
      </c>
      <c r="M59" s="180">
        <f t="shared" si="3"/>
        <v>60000</v>
      </c>
    </row>
    <row r="60" spans="1:13" ht="15.75" x14ac:dyDescent="0.25">
      <c r="A60" s="60">
        <v>53</v>
      </c>
      <c r="B60" s="76" t="s">
        <v>327</v>
      </c>
      <c r="C60" s="88"/>
      <c r="D60" s="104">
        <f t="shared" si="0"/>
        <v>8330</v>
      </c>
      <c r="E60" s="104">
        <f t="shared" si="1"/>
        <v>10000</v>
      </c>
      <c r="F60" s="62"/>
      <c r="G60" s="62"/>
      <c r="H60" s="63"/>
      <c r="I60" s="63"/>
      <c r="J60" s="63">
        <v>8330</v>
      </c>
      <c r="K60" s="63">
        <v>10000</v>
      </c>
      <c r="L60" s="180">
        <f t="shared" si="2"/>
        <v>8330</v>
      </c>
      <c r="M60" s="180">
        <f t="shared" si="3"/>
        <v>10000</v>
      </c>
    </row>
    <row r="61" spans="1:13" ht="15.75" x14ac:dyDescent="0.25">
      <c r="A61" s="60">
        <v>54</v>
      </c>
      <c r="B61" s="76" t="s">
        <v>758</v>
      </c>
      <c r="C61" s="88"/>
      <c r="D61" s="104">
        <f t="shared" si="0"/>
        <v>0</v>
      </c>
      <c r="E61" s="104">
        <f t="shared" si="1"/>
        <v>300000</v>
      </c>
      <c r="F61" s="62"/>
      <c r="G61" s="62"/>
      <c r="H61" s="63"/>
      <c r="I61" s="63"/>
      <c r="J61" s="63"/>
      <c r="K61" s="63">
        <v>300000</v>
      </c>
      <c r="L61" s="180">
        <f t="shared" si="2"/>
        <v>0</v>
      </c>
      <c r="M61" s="180">
        <f t="shared" si="3"/>
        <v>300000</v>
      </c>
    </row>
    <row r="62" spans="1:13" ht="15.75" x14ac:dyDescent="0.25">
      <c r="A62" s="60">
        <v>55</v>
      </c>
      <c r="B62" s="76" t="s">
        <v>370</v>
      </c>
      <c r="C62" s="88"/>
      <c r="D62" s="104">
        <f t="shared" si="0"/>
        <v>23964</v>
      </c>
      <c r="E62" s="104">
        <f t="shared" si="1"/>
        <v>24000</v>
      </c>
      <c r="F62" s="62"/>
      <c r="G62" s="62"/>
      <c r="H62" s="63"/>
      <c r="I62" s="63"/>
      <c r="J62" s="63">
        <v>23964</v>
      </c>
      <c r="K62" s="63">
        <v>24000</v>
      </c>
      <c r="L62" s="180">
        <f t="shared" si="2"/>
        <v>23964</v>
      </c>
      <c r="M62" s="180">
        <f t="shared" si="3"/>
        <v>24000</v>
      </c>
    </row>
    <row r="63" spans="1:13" ht="60" x14ac:dyDescent="0.25">
      <c r="A63" s="60">
        <v>56</v>
      </c>
      <c r="B63" s="76" t="s">
        <v>595</v>
      </c>
      <c r="C63" s="88"/>
      <c r="D63" s="104">
        <f t="shared" si="0"/>
        <v>866694</v>
      </c>
      <c r="E63" s="104">
        <f t="shared" si="1"/>
        <v>253000</v>
      </c>
      <c r="F63" s="62"/>
      <c r="G63" s="62"/>
      <c r="H63" s="63"/>
      <c r="I63" s="63"/>
      <c r="J63" s="63">
        <v>866694</v>
      </c>
      <c r="K63" s="63">
        <v>253000</v>
      </c>
      <c r="L63" s="180">
        <f t="shared" si="2"/>
        <v>866694</v>
      </c>
      <c r="M63" s="180">
        <f t="shared" si="3"/>
        <v>253000</v>
      </c>
    </row>
    <row r="64" spans="1:13" ht="15.75" x14ac:dyDescent="0.25">
      <c r="A64" s="84">
        <v>57</v>
      </c>
      <c r="B64" s="85" t="s">
        <v>148</v>
      </c>
      <c r="C64" s="186" t="s">
        <v>149</v>
      </c>
      <c r="D64" s="104">
        <f t="shared" si="0"/>
        <v>4884164</v>
      </c>
      <c r="E64" s="104">
        <f t="shared" si="1"/>
        <v>5576200</v>
      </c>
      <c r="F64" s="86">
        <f t="shared" ref="F64:K64" si="24">SUM(F38,F44,F45,F49,F54,F58,F51,F52,F53)</f>
        <v>120000</v>
      </c>
      <c r="G64" s="86">
        <f t="shared" si="24"/>
        <v>284800</v>
      </c>
      <c r="H64" s="86">
        <f t="shared" si="24"/>
        <v>0</v>
      </c>
      <c r="I64" s="86">
        <f t="shared" si="24"/>
        <v>550000</v>
      </c>
      <c r="J64" s="86">
        <f>SUM(J45,J49,J54,J58,J51,J52,J53)</f>
        <v>4764164</v>
      </c>
      <c r="K64" s="86">
        <f t="shared" si="24"/>
        <v>4741400</v>
      </c>
      <c r="L64" s="180">
        <f t="shared" si="2"/>
        <v>4884164</v>
      </c>
      <c r="M64" s="180">
        <f t="shared" si="3"/>
        <v>5576200</v>
      </c>
    </row>
    <row r="65" spans="1:13" ht="15.75" x14ac:dyDescent="0.25">
      <c r="A65" s="60">
        <v>58</v>
      </c>
      <c r="B65" s="61" t="s">
        <v>328</v>
      </c>
      <c r="C65" s="88" t="s">
        <v>153</v>
      </c>
      <c r="D65" s="104">
        <f t="shared" si="0"/>
        <v>0</v>
      </c>
      <c r="E65" s="104">
        <f t="shared" si="1"/>
        <v>0</v>
      </c>
      <c r="F65" s="62"/>
      <c r="G65" s="62"/>
      <c r="H65" s="63"/>
      <c r="I65" s="63"/>
      <c r="J65" s="63"/>
      <c r="K65" s="63"/>
      <c r="L65" s="180">
        <f t="shared" si="2"/>
        <v>0</v>
      </c>
      <c r="M65" s="180">
        <f t="shared" si="3"/>
        <v>0</v>
      </c>
    </row>
    <row r="66" spans="1:13" ht="15.75" x14ac:dyDescent="0.25">
      <c r="A66" s="60">
        <v>59</v>
      </c>
      <c r="B66" s="61" t="s">
        <v>329</v>
      </c>
      <c r="C66" s="88" t="s">
        <v>157</v>
      </c>
      <c r="D66" s="104">
        <f t="shared" si="0"/>
        <v>0</v>
      </c>
      <c r="E66" s="104">
        <f t="shared" si="1"/>
        <v>0</v>
      </c>
      <c r="F66" s="62"/>
      <c r="G66" s="62"/>
      <c r="H66" s="63"/>
      <c r="I66" s="63"/>
      <c r="J66" s="63"/>
      <c r="K66" s="63"/>
      <c r="L66" s="180">
        <f t="shared" si="2"/>
        <v>0</v>
      </c>
      <c r="M66" s="180">
        <f t="shared" si="3"/>
        <v>0</v>
      </c>
    </row>
    <row r="67" spans="1:13" ht="29.25" x14ac:dyDescent="0.25">
      <c r="A67" s="80">
        <v>60</v>
      </c>
      <c r="B67" s="81" t="s">
        <v>158</v>
      </c>
      <c r="C67" s="185" t="s">
        <v>159</v>
      </c>
      <c r="D67" s="104">
        <f t="shared" si="0"/>
        <v>0</v>
      </c>
      <c r="E67" s="104">
        <f t="shared" si="1"/>
        <v>0</v>
      </c>
      <c r="F67" s="82">
        <f t="shared" ref="F67:K67" si="25">SUM(F65:F66)</f>
        <v>0</v>
      </c>
      <c r="G67" s="82">
        <f t="shared" si="25"/>
        <v>0</v>
      </c>
      <c r="H67" s="82">
        <f t="shared" si="25"/>
        <v>0</v>
      </c>
      <c r="I67" s="82">
        <f t="shared" si="25"/>
        <v>0</v>
      </c>
      <c r="J67" s="82">
        <f t="shared" si="25"/>
        <v>0</v>
      </c>
      <c r="K67" s="82">
        <f t="shared" si="25"/>
        <v>0</v>
      </c>
      <c r="L67" s="180">
        <f t="shared" si="2"/>
        <v>0</v>
      </c>
      <c r="M67" s="180">
        <f t="shared" si="3"/>
        <v>0</v>
      </c>
    </row>
    <row r="68" spans="1:13" ht="30" x14ac:dyDescent="0.25">
      <c r="A68" s="60">
        <v>61</v>
      </c>
      <c r="B68" s="61" t="s">
        <v>330</v>
      </c>
      <c r="C68" s="88" t="s">
        <v>163</v>
      </c>
      <c r="D68" s="104">
        <f t="shared" si="0"/>
        <v>1127164</v>
      </c>
      <c r="E68" s="104">
        <f t="shared" si="1"/>
        <v>540000</v>
      </c>
      <c r="F68" s="62"/>
      <c r="G68" s="62">
        <v>70000</v>
      </c>
      <c r="H68" s="62"/>
      <c r="I68" s="62"/>
      <c r="J68" s="62">
        <v>1127164</v>
      </c>
      <c r="K68" s="62">
        <v>470000</v>
      </c>
      <c r="L68" s="180">
        <f t="shared" si="2"/>
        <v>1127164</v>
      </c>
      <c r="M68" s="180">
        <f t="shared" si="3"/>
        <v>540000</v>
      </c>
    </row>
    <row r="69" spans="1:13" ht="15.75" x14ac:dyDescent="0.25">
      <c r="A69" s="60">
        <v>62</v>
      </c>
      <c r="B69" s="61" t="s">
        <v>331</v>
      </c>
      <c r="C69" s="88" t="s">
        <v>167</v>
      </c>
      <c r="D69" s="104">
        <f t="shared" si="0"/>
        <v>0</v>
      </c>
      <c r="E69" s="104">
        <f t="shared" si="1"/>
        <v>0</v>
      </c>
      <c r="F69" s="62"/>
      <c r="G69" s="62"/>
      <c r="H69" s="63"/>
      <c r="I69" s="63"/>
      <c r="J69" s="63"/>
      <c r="K69" s="63"/>
      <c r="L69" s="180">
        <f t="shared" si="2"/>
        <v>0</v>
      </c>
      <c r="M69" s="180">
        <f t="shared" si="3"/>
        <v>0</v>
      </c>
    </row>
    <row r="70" spans="1:13" ht="15.75" x14ac:dyDescent="0.25">
      <c r="A70" s="60">
        <v>63</v>
      </c>
      <c r="B70" s="61" t="s">
        <v>170</v>
      </c>
      <c r="C70" s="88" t="s">
        <v>171</v>
      </c>
      <c r="D70" s="104">
        <f t="shared" si="0"/>
        <v>0</v>
      </c>
      <c r="E70" s="104">
        <f t="shared" si="1"/>
        <v>0</v>
      </c>
      <c r="F70" s="62"/>
      <c r="G70" s="62"/>
      <c r="H70" s="63"/>
      <c r="I70" s="63"/>
      <c r="J70" s="63"/>
      <c r="K70" s="63"/>
      <c r="L70" s="180">
        <f t="shared" si="2"/>
        <v>0</v>
      </c>
      <c r="M70" s="180">
        <f t="shared" si="3"/>
        <v>0</v>
      </c>
    </row>
    <row r="71" spans="1:13" ht="15.75" x14ac:dyDescent="0.25">
      <c r="A71" s="60">
        <v>64</v>
      </c>
      <c r="B71" s="61" t="s">
        <v>332</v>
      </c>
      <c r="C71" s="88" t="s">
        <v>333</v>
      </c>
      <c r="D71" s="104">
        <f t="shared" si="0"/>
        <v>0</v>
      </c>
      <c r="E71" s="104">
        <f t="shared" si="1"/>
        <v>0</v>
      </c>
      <c r="F71" s="62"/>
      <c r="G71" s="62"/>
      <c r="H71" s="63"/>
      <c r="I71" s="63"/>
      <c r="J71" s="63"/>
      <c r="K71" s="63"/>
      <c r="L71" s="180">
        <f t="shared" si="2"/>
        <v>0</v>
      </c>
      <c r="M71" s="180">
        <f t="shared" si="3"/>
        <v>0</v>
      </c>
    </row>
    <row r="72" spans="1:13" ht="15.75" x14ac:dyDescent="0.25">
      <c r="A72" s="80">
        <v>65</v>
      </c>
      <c r="B72" s="81" t="s">
        <v>334</v>
      </c>
      <c r="C72" s="185" t="s">
        <v>175</v>
      </c>
      <c r="D72" s="104">
        <f t="shared" ref="D72:D114" si="26">SUM(L72)</f>
        <v>2834</v>
      </c>
      <c r="E72" s="104">
        <f t="shared" ref="E72:E113" si="27">M72</f>
        <v>0</v>
      </c>
      <c r="F72" s="82">
        <f t="shared" ref="F72:K72" si="28">SUM(F73:F77)</f>
        <v>0</v>
      </c>
      <c r="G72" s="82">
        <f t="shared" si="28"/>
        <v>0</v>
      </c>
      <c r="H72" s="82">
        <f t="shared" si="28"/>
        <v>0</v>
      </c>
      <c r="I72" s="82">
        <f t="shared" si="28"/>
        <v>0</v>
      </c>
      <c r="J72" s="82">
        <f t="shared" si="28"/>
        <v>2834</v>
      </c>
      <c r="K72" s="82">
        <f t="shared" si="28"/>
        <v>0</v>
      </c>
      <c r="L72" s="180">
        <f t="shared" ref="L72:M107" si="29">SUM(F72,H72,J72)</f>
        <v>2834</v>
      </c>
      <c r="M72" s="180">
        <f t="shared" ref="M72:M105" si="30">SUM(G72,I72,K72)</f>
        <v>0</v>
      </c>
    </row>
    <row r="73" spans="1:13" ht="15.75" x14ac:dyDescent="0.25">
      <c r="A73" s="60">
        <v>66</v>
      </c>
      <c r="B73" s="76"/>
      <c r="C73" s="88"/>
      <c r="D73" s="104">
        <f t="shared" si="26"/>
        <v>0</v>
      </c>
      <c r="E73" s="104">
        <f t="shared" si="27"/>
        <v>0</v>
      </c>
      <c r="F73" s="62"/>
      <c r="G73" s="62"/>
      <c r="H73" s="63"/>
      <c r="I73" s="63"/>
      <c r="J73" s="63"/>
      <c r="K73" s="63"/>
      <c r="L73" s="180">
        <f t="shared" si="29"/>
        <v>0</v>
      </c>
      <c r="M73" s="180">
        <f t="shared" si="30"/>
        <v>0</v>
      </c>
    </row>
    <row r="74" spans="1:13" ht="15.75" x14ac:dyDescent="0.25">
      <c r="A74" s="60">
        <v>67</v>
      </c>
      <c r="B74" s="76"/>
      <c r="C74" s="88"/>
      <c r="D74" s="104">
        <f t="shared" si="26"/>
        <v>0</v>
      </c>
      <c r="E74" s="104">
        <f t="shared" si="27"/>
        <v>0</v>
      </c>
      <c r="F74" s="62"/>
      <c r="G74" s="62"/>
      <c r="H74" s="63"/>
      <c r="I74" s="63"/>
      <c r="J74" s="63"/>
      <c r="K74" s="63"/>
      <c r="L74" s="180">
        <f t="shared" si="29"/>
        <v>0</v>
      </c>
      <c r="M74" s="180">
        <f t="shared" si="30"/>
        <v>0</v>
      </c>
    </row>
    <row r="75" spans="1:13" ht="30" x14ac:dyDescent="0.25">
      <c r="A75" s="60">
        <v>68</v>
      </c>
      <c r="B75" s="76" t="s">
        <v>335</v>
      </c>
      <c r="C75" s="88"/>
      <c r="D75" s="104">
        <f t="shared" si="26"/>
        <v>0</v>
      </c>
      <c r="E75" s="104">
        <f t="shared" si="27"/>
        <v>0</v>
      </c>
      <c r="F75" s="62"/>
      <c r="G75" s="62"/>
      <c r="H75" s="63"/>
      <c r="I75" s="63"/>
      <c r="J75" s="63"/>
      <c r="K75" s="63"/>
      <c r="L75" s="180">
        <f t="shared" si="29"/>
        <v>0</v>
      </c>
      <c r="M75" s="180">
        <f t="shared" si="30"/>
        <v>0</v>
      </c>
    </row>
    <row r="76" spans="1:13" ht="15.75" x14ac:dyDescent="0.25">
      <c r="A76" s="60">
        <v>69</v>
      </c>
      <c r="B76" s="76" t="s">
        <v>336</v>
      </c>
      <c r="C76" s="88"/>
      <c r="D76" s="104">
        <f t="shared" si="26"/>
        <v>0</v>
      </c>
      <c r="E76" s="104">
        <f t="shared" si="27"/>
        <v>0</v>
      </c>
      <c r="F76" s="62"/>
      <c r="G76" s="62"/>
      <c r="H76" s="63"/>
      <c r="I76" s="63"/>
      <c r="J76" s="63"/>
      <c r="K76" s="63"/>
      <c r="L76" s="180">
        <f t="shared" si="29"/>
        <v>0</v>
      </c>
      <c r="M76" s="180">
        <f t="shared" si="30"/>
        <v>0</v>
      </c>
    </row>
    <row r="77" spans="1:13" ht="15.75" x14ac:dyDescent="0.25">
      <c r="A77" s="60">
        <v>70</v>
      </c>
      <c r="B77" s="76" t="s">
        <v>337</v>
      </c>
      <c r="C77" s="88"/>
      <c r="D77" s="104">
        <f t="shared" si="26"/>
        <v>2834</v>
      </c>
      <c r="E77" s="104">
        <f t="shared" si="27"/>
        <v>0</v>
      </c>
      <c r="F77" s="62"/>
      <c r="G77" s="62"/>
      <c r="H77" s="63"/>
      <c r="I77" s="63"/>
      <c r="J77" s="63">
        <v>2834</v>
      </c>
      <c r="K77" s="63"/>
      <c r="L77" s="180">
        <f t="shared" si="29"/>
        <v>2834</v>
      </c>
      <c r="M77" s="180">
        <f t="shared" si="30"/>
        <v>0</v>
      </c>
    </row>
    <row r="78" spans="1:13" ht="29.25" x14ac:dyDescent="0.25">
      <c r="A78" s="80">
        <v>71</v>
      </c>
      <c r="B78" s="81" t="s">
        <v>338</v>
      </c>
      <c r="C78" s="185" t="s">
        <v>179</v>
      </c>
      <c r="D78" s="104">
        <f t="shared" si="26"/>
        <v>1129998</v>
      </c>
      <c r="E78" s="104">
        <f t="shared" si="27"/>
        <v>540000</v>
      </c>
      <c r="F78" s="82">
        <f t="shared" ref="F78" si="31">SUM(F72,F71,F70,F69,F68)</f>
        <v>0</v>
      </c>
      <c r="G78" s="82">
        <f t="shared" ref="G78:K78" si="32">SUM(G72,G71,G70,G69,G68)</f>
        <v>70000</v>
      </c>
      <c r="H78" s="82">
        <f t="shared" si="32"/>
        <v>0</v>
      </c>
      <c r="I78" s="82">
        <f t="shared" si="32"/>
        <v>0</v>
      </c>
      <c r="J78" s="82">
        <f t="shared" si="32"/>
        <v>1129998</v>
      </c>
      <c r="K78" s="82">
        <f t="shared" si="32"/>
        <v>470000</v>
      </c>
      <c r="L78" s="180">
        <f t="shared" si="29"/>
        <v>1129998</v>
      </c>
      <c r="M78" s="180">
        <f t="shared" si="30"/>
        <v>540000</v>
      </c>
    </row>
    <row r="79" spans="1:13" s="49" customFormat="1" ht="18.75" x14ac:dyDescent="0.3">
      <c r="A79" s="1026" t="s">
        <v>339</v>
      </c>
      <c r="B79" s="1027"/>
      <c r="C79" s="187" t="s">
        <v>181</v>
      </c>
      <c r="D79" s="104">
        <f t="shared" si="26"/>
        <v>7397204</v>
      </c>
      <c r="E79" s="104">
        <f t="shared" si="27"/>
        <v>6116200</v>
      </c>
      <c r="F79" s="87">
        <f t="shared" ref="F79:K79" si="33">SUM(F64+F78)</f>
        <v>120000</v>
      </c>
      <c r="G79" s="87">
        <f t="shared" si="33"/>
        <v>354800</v>
      </c>
      <c r="H79" s="87">
        <f t="shared" si="33"/>
        <v>0</v>
      </c>
      <c r="I79" s="87">
        <f t="shared" si="33"/>
        <v>550000</v>
      </c>
      <c r="J79" s="87">
        <f>SUM(J38,J44,J64,J67,J78)</f>
        <v>7277204</v>
      </c>
      <c r="K79" s="87">
        <f t="shared" si="33"/>
        <v>5211400</v>
      </c>
      <c r="L79" s="180">
        <f t="shared" si="29"/>
        <v>7397204</v>
      </c>
      <c r="M79" s="180">
        <f t="shared" si="30"/>
        <v>6116200</v>
      </c>
    </row>
    <row r="80" spans="1:13" ht="30" x14ac:dyDescent="0.25">
      <c r="A80" s="60">
        <v>72</v>
      </c>
      <c r="B80" s="61" t="s">
        <v>193</v>
      </c>
      <c r="C80" s="88" t="s">
        <v>194</v>
      </c>
      <c r="D80" s="104">
        <f t="shared" si="26"/>
        <v>0</v>
      </c>
      <c r="E80" s="104">
        <f t="shared" si="27"/>
        <v>0</v>
      </c>
      <c r="F80" s="62"/>
      <c r="G80" s="62"/>
      <c r="H80" s="63"/>
      <c r="I80" s="63"/>
      <c r="J80" s="63"/>
      <c r="K80" s="63"/>
      <c r="L80" s="180">
        <f t="shared" si="29"/>
        <v>0</v>
      </c>
      <c r="M80" s="180">
        <f t="shared" si="30"/>
        <v>0</v>
      </c>
    </row>
    <row r="81" spans="1:13" ht="15.75" x14ac:dyDescent="0.25">
      <c r="A81" s="60">
        <v>73</v>
      </c>
      <c r="B81" s="61" t="s">
        <v>340</v>
      </c>
      <c r="C81" s="88" t="s">
        <v>196</v>
      </c>
      <c r="D81" s="104">
        <f t="shared" si="26"/>
        <v>0</v>
      </c>
      <c r="E81" s="104">
        <f t="shared" si="27"/>
        <v>0</v>
      </c>
      <c r="F81" s="62"/>
      <c r="G81" s="62"/>
      <c r="H81" s="63"/>
      <c r="I81" s="63"/>
      <c r="J81" s="63"/>
      <c r="K81" s="63"/>
      <c r="L81" s="180">
        <f t="shared" si="29"/>
        <v>0</v>
      </c>
      <c r="M81" s="180">
        <f t="shared" si="30"/>
        <v>0</v>
      </c>
    </row>
    <row r="82" spans="1:13" ht="30" x14ac:dyDescent="0.25">
      <c r="A82" s="60">
        <v>74</v>
      </c>
      <c r="B82" s="61" t="s">
        <v>341</v>
      </c>
      <c r="C82" s="88" t="s">
        <v>198</v>
      </c>
      <c r="D82" s="104">
        <f t="shared" si="26"/>
        <v>0</v>
      </c>
      <c r="E82" s="104">
        <f t="shared" si="27"/>
        <v>0</v>
      </c>
      <c r="F82" s="62"/>
      <c r="G82" s="62"/>
      <c r="H82" s="62"/>
      <c r="I82" s="62"/>
      <c r="J82" s="62"/>
      <c r="K82" s="62"/>
      <c r="L82" s="180">
        <f t="shared" si="29"/>
        <v>0</v>
      </c>
      <c r="M82" s="180">
        <f t="shared" si="30"/>
        <v>0</v>
      </c>
    </row>
    <row r="83" spans="1:13" ht="15.75" x14ac:dyDescent="0.25">
      <c r="A83" s="60">
        <v>75</v>
      </c>
      <c r="B83" s="83"/>
      <c r="C83" s="88"/>
      <c r="D83" s="104">
        <f t="shared" si="26"/>
        <v>0</v>
      </c>
      <c r="E83" s="104">
        <f t="shared" si="27"/>
        <v>0</v>
      </c>
      <c r="F83" s="62"/>
      <c r="G83" s="62"/>
      <c r="H83" s="63"/>
      <c r="I83" s="63"/>
      <c r="J83" s="63"/>
      <c r="K83" s="63"/>
      <c r="L83" s="180">
        <f t="shared" si="29"/>
        <v>0</v>
      </c>
      <c r="M83" s="180">
        <f t="shared" si="30"/>
        <v>0</v>
      </c>
    </row>
    <row r="84" spans="1:13" ht="15.75" x14ac:dyDescent="0.25">
      <c r="A84" s="60">
        <v>76</v>
      </c>
      <c r="B84" s="83"/>
      <c r="C84" s="88"/>
      <c r="D84" s="104">
        <f t="shared" si="26"/>
        <v>0</v>
      </c>
      <c r="E84" s="104">
        <f t="shared" si="27"/>
        <v>0</v>
      </c>
      <c r="F84" s="62"/>
      <c r="G84" s="62"/>
      <c r="H84" s="63"/>
      <c r="I84" s="63"/>
      <c r="J84" s="63"/>
      <c r="K84" s="63"/>
      <c r="L84" s="180">
        <f t="shared" si="29"/>
        <v>0</v>
      </c>
      <c r="M84" s="180">
        <f t="shared" si="30"/>
        <v>0</v>
      </c>
    </row>
    <row r="85" spans="1:13" ht="29.25" x14ac:dyDescent="0.25">
      <c r="A85" s="190">
        <v>77</v>
      </c>
      <c r="B85" s="90" t="s">
        <v>199</v>
      </c>
      <c r="C85" s="89" t="s">
        <v>200</v>
      </c>
      <c r="D85" s="104">
        <f t="shared" si="26"/>
        <v>186967</v>
      </c>
      <c r="E85" s="104">
        <f t="shared" si="27"/>
        <v>1200000</v>
      </c>
      <c r="F85" s="91">
        <f t="shared" ref="F85:J85" si="34">SUM(F86:F95)</f>
        <v>0</v>
      </c>
      <c r="G85" s="91">
        <f>SUM(G86:G95)</f>
        <v>1200000</v>
      </c>
      <c r="H85" s="91">
        <f t="shared" si="34"/>
        <v>0</v>
      </c>
      <c r="I85" s="91"/>
      <c r="J85" s="91">
        <f t="shared" si="34"/>
        <v>186967</v>
      </c>
      <c r="K85" s="91"/>
      <c r="L85" s="180">
        <f t="shared" si="29"/>
        <v>186967</v>
      </c>
      <c r="M85" s="180">
        <f t="shared" si="30"/>
        <v>1200000</v>
      </c>
    </row>
    <row r="86" spans="1:13" ht="15.75" x14ac:dyDescent="0.25">
      <c r="A86" s="60">
        <v>78</v>
      </c>
      <c r="B86" s="61"/>
      <c r="C86" s="88"/>
      <c r="D86" s="104">
        <f t="shared" si="26"/>
        <v>0</v>
      </c>
      <c r="E86" s="104">
        <f t="shared" si="27"/>
        <v>0</v>
      </c>
      <c r="F86" s="62"/>
      <c r="G86" s="62"/>
      <c r="H86" s="63"/>
      <c r="I86" s="63"/>
      <c r="J86" s="63"/>
      <c r="K86" s="63"/>
      <c r="L86" s="180">
        <f t="shared" si="29"/>
        <v>0</v>
      </c>
      <c r="M86" s="180">
        <f t="shared" si="30"/>
        <v>0</v>
      </c>
    </row>
    <row r="87" spans="1:13" ht="15.75" x14ac:dyDescent="0.25">
      <c r="A87" s="60">
        <v>79</v>
      </c>
      <c r="B87" s="105" t="s">
        <v>681</v>
      </c>
      <c r="C87" s="88"/>
      <c r="D87" s="104">
        <f t="shared" si="26"/>
        <v>186967</v>
      </c>
      <c r="E87" s="104">
        <f t="shared" si="27"/>
        <v>0</v>
      </c>
      <c r="F87" s="62"/>
      <c r="G87" s="62"/>
      <c r="H87" s="63"/>
      <c r="I87" s="63"/>
      <c r="J87" s="63">
        <v>186967</v>
      </c>
      <c r="K87" s="63"/>
      <c r="L87" s="180">
        <f t="shared" si="29"/>
        <v>186967</v>
      </c>
      <c r="M87" s="180">
        <f t="shared" si="30"/>
        <v>0</v>
      </c>
    </row>
    <row r="88" spans="1:13" ht="15.75" x14ac:dyDescent="0.25">
      <c r="A88" s="60">
        <v>80</v>
      </c>
      <c r="B88" s="88"/>
      <c r="C88" s="88"/>
      <c r="D88" s="104">
        <f t="shared" si="26"/>
        <v>0</v>
      </c>
      <c r="E88" s="104">
        <f t="shared" si="27"/>
        <v>0</v>
      </c>
      <c r="F88" s="62"/>
      <c r="G88" s="62"/>
      <c r="H88" s="63"/>
      <c r="I88" s="63"/>
      <c r="J88" s="63"/>
      <c r="K88" s="63"/>
      <c r="L88" s="180">
        <f t="shared" si="29"/>
        <v>0</v>
      </c>
      <c r="M88" s="180">
        <f t="shared" si="30"/>
        <v>0</v>
      </c>
    </row>
    <row r="89" spans="1:13" ht="15.75" x14ac:dyDescent="0.25">
      <c r="A89" s="60">
        <v>81</v>
      </c>
      <c r="B89" s="88" t="s">
        <v>682</v>
      </c>
      <c r="C89" s="88"/>
      <c r="D89" s="104">
        <f t="shared" si="26"/>
        <v>0</v>
      </c>
      <c r="E89" s="104">
        <f t="shared" si="27"/>
        <v>1200000</v>
      </c>
      <c r="F89" s="62"/>
      <c r="G89" s="62">
        <v>1200000</v>
      </c>
      <c r="H89" s="63"/>
      <c r="I89" s="63"/>
      <c r="J89" s="63"/>
      <c r="K89" s="63"/>
      <c r="L89" s="180">
        <f t="shared" si="29"/>
        <v>0</v>
      </c>
      <c r="M89" s="180">
        <f t="shared" si="30"/>
        <v>1200000</v>
      </c>
    </row>
    <row r="90" spans="1:13" ht="15.75" x14ac:dyDescent="0.25">
      <c r="A90" s="60">
        <v>82</v>
      </c>
      <c r="B90" s="61"/>
      <c r="C90" s="88"/>
      <c r="D90" s="104">
        <f t="shared" si="26"/>
        <v>0</v>
      </c>
      <c r="E90" s="104">
        <f t="shared" si="27"/>
        <v>0</v>
      </c>
      <c r="F90" s="62"/>
      <c r="G90" s="62"/>
      <c r="H90" s="63"/>
      <c r="I90" s="63"/>
      <c r="J90" s="63"/>
      <c r="K90" s="63"/>
      <c r="L90" s="180">
        <f t="shared" si="29"/>
        <v>0</v>
      </c>
      <c r="M90" s="180">
        <f t="shared" si="30"/>
        <v>0</v>
      </c>
    </row>
    <row r="91" spans="1:13" ht="15.75" x14ac:dyDescent="0.25">
      <c r="A91" s="60">
        <v>83</v>
      </c>
      <c r="B91" s="61"/>
      <c r="C91" s="88"/>
      <c r="D91" s="104">
        <f t="shared" si="26"/>
        <v>0</v>
      </c>
      <c r="E91" s="104">
        <f t="shared" si="27"/>
        <v>0</v>
      </c>
      <c r="F91" s="62"/>
      <c r="G91" s="62"/>
      <c r="H91" s="63"/>
      <c r="I91" s="63"/>
      <c r="J91" s="63"/>
      <c r="K91" s="63"/>
      <c r="L91" s="180">
        <f t="shared" si="29"/>
        <v>0</v>
      </c>
      <c r="M91" s="180">
        <f t="shared" si="30"/>
        <v>0</v>
      </c>
    </row>
    <row r="92" spans="1:13" ht="15.75" x14ac:dyDescent="0.25">
      <c r="A92" s="60">
        <v>84</v>
      </c>
      <c r="B92" s="37"/>
      <c r="C92" s="88"/>
      <c r="D92" s="104">
        <f t="shared" si="26"/>
        <v>0</v>
      </c>
      <c r="E92" s="104">
        <f t="shared" si="27"/>
        <v>0</v>
      </c>
      <c r="F92" s="62"/>
      <c r="G92" s="62"/>
      <c r="H92" s="63"/>
      <c r="I92" s="63"/>
      <c r="J92" s="63"/>
      <c r="K92" s="63"/>
      <c r="L92" s="180">
        <f t="shared" si="29"/>
        <v>0</v>
      </c>
      <c r="M92" s="180">
        <f t="shared" si="30"/>
        <v>0</v>
      </c>
    </row>
    <row r="93" spans="1:13" ht="15.75" x14ac:dyDescent="0.25">
      <c r="A93" s="60">
        <v>85</v>
      </c>
      <c r="B93" s="37"/>
      <c r="C93" s="88"/>
      <c r="D93" s="104">
        <f t="shared" si="26"/>
        <v>0</v>
      </c>
      <c r="E93" s="104">
        <f t="shared" si="27"/>
        <v>0</v>
      </c>
      <c r="F93" s="62"/>
      <c r="G93" s="62"/>
      <c r="H93" s="63"/>
      <c r="I93" s="63"/>
      <c r="J93" s="63"/>
      <c r="K93" s="63"/>
      <c r="L93" s="180">
        <f t="shared" si="29"/>
        <v>0</v>
      </c>
      <c r="M93" s="180">
        <f t="shared" si="30"/>
        <v>0</v>
      </c>
    </row>
    <row r="94" spans="1:13" ht="15.75" x14ac:dyDescent="0.25">
      <c r="A94" s="60">
        <v>86</v>
      </c>
      <c r="B94" s="111"/>
      <c r="C94" s="88"/>
      <c r="D94" s="104">
        <f t="shared" si="26"/>
        <v>0</v>
      </c>
      <c r="E94" s="104">
        <f t="shared" si="27"/>
        <v>0</v>
      </c>
      <c r="F94" s="62"/>
      <c r="G94" s="62"/>
      <c r="H94" s="63"/>
      <c r="I94" s="63"/>
      <c r="J94" s="63"/>
      <c r="K94" s="63"/>
      <c r="L94" s="180">
        <f t="shared" si="29"/>
        <v>0</v>
      </c>
      <c r="M94" s="180">
        <f t="shared" si="30"/>
        <v>0</v>
      </c>
    </row>
    <row r="95" spans="1:13" ht="15.75" x14ac:dyDescent="0.25">
      <c r="A95" s="60">
        <v>87</v>
      </c>
      <c r="C95" s="88"/>
      <c r="D95" s="104">
        <f t="shared" si="26"/>
        <v>0</v>
      </c>
      <c r="E95" s="104">
        <f t="shared" si="27"/>
        <v>0</v>
      </c>
      <c r="F95" s="62"/>
      <c r="G95" s="62"/>
      <c r="H95" s="63"/>
      <c r="I95" s="63"/>
      <c r="J95" s="63"/>
      <c r="K95" s="63"/>
      <c r="L95" s="180">
        <f t="shared" si="29"/>
        <v>0</v>
      </c>
      <c r="M95" s="180">
        <f t="shared" si="30"/>
        <v>0</v>
      </c>
    </row>
    <row r="96" spans="1:13" ht="15.75" x14ac:dyDescent="0.25">
      <c r="A96" s="60">
        <v>88</v>
      </c>
      <c r="B96" s="61" t="s">
        <v>342</v>
      </c>
      <c r="C96" s="88" t="s">
        <v>343</v>
      </c>
      <c r="D96" s="104">
        <f t="shared" si="26"/>
        <v>0</v>
      </c>
      <c r="E96" s="104">
        <f t="shared" si="27"/>
        <v>0</v>
      </c>
      <c r="F96" s="62"/>
      <c r="G96" s="62"/>
      <c r="H96" s="63"/>
      <c r="I96" s="63"/>
      <c r="J96" s="63"/>
      <c r="K96" s="63"/>
      <c r="L96" s="180">
        <f t="shared" si="29"/>
        <v>0</v>
      </c>
      <c r="M96" s="180">
        <f t="shared" si="30"/>
        <v>0</v>
      </c>
    </row>
    <row r="97" spans="1:14" ht="30" x14ac:dyDescent="0.25">
      <c r="A97" s="60">
        <v>89</v>
      </c>
      <c r="B97" s="61" t="s">
        <v>344</v>
      </c>
      <c r="C97" s="88" t="s">
        <v>345</v>
      </c>
      <c r="D97" s="104">
        <f t="shared" si="26"/>
        <v>0</v>
      </c>
      <c r="E97" s="104">
        <f t="shared" si="27"/>
        <v>0</v>
      </c>
      <c r="F97" s="62"/>
      <c r="G97" s="62"/>
      <c r="H97" s="63"/>
      <c r="I97" s="63"/>
      <c r="J97" s="63"/>
      <c r="K97" s="63"/>
      <c r="L97" s="180">
        <f t="shared" si="29"/>
        <v>0</v>
      </c>
      <c r="M97" s="180">
        <f t="shared" si="30"/>
        <v>0</v>
      </c>
    </row>
    <row r="98" spans="1:14" ht="30" x14ac:dyDescent="0.25">
      <c r="A98" s="60">
        <v>90</v>
      </c>
      <c r="B98" s="61" t="s">
        <v>559</v>
      </c>
      <c r="C98" s="88" t="s">
        <v>202</v>
      </c>
      <c r="D98" s="104">
        <f t="shared" si="26"/>
        <v>50481.090000000004</v>
      </c>
      <c r="E98" s="104">
        <f t="shared" si="27"/>
        <v>324000</v>
      </c>
      <c r="F98" s="62"/>
      <c r="G98" s="62">
        <f>SUM(G85)*0.27</f>
        <v>324000</v>
      </c>
      <c r="H98" s="62">
        <f>SUM(H85,H82,H80,H81)*0.27</f>
        <v>0</v>
      </c>
      <c r="I98" s="62"/>
      <c r="J98" s="62">
        <f>SUM(J85,J82,J80,J81)*0.27</f>
        <v>50481.090000000004</v>
      </c>
      <c r="K98" s="62"/>
      <c r="L98" s="180">
        <f t="shared" si="29"/>
        <v>50481.090000000004</v>
      </c>
      <c r="M98" s="180">
        <f t="shared" si="30"/>
        <v>324000</v>
      </c>
    </row>
    <row r="99" spans="1:14" ht="15.75" x14ac:dyDescent="0.25">
      <c r="A99" s="1028" t="s">
        <v>375</v>
      </c>
      <c r="B99" s="1029"/>
      <c r="C99" s="1029"/>
      <c r="D99" s="104">
        <f t="shared" si="26"/>
        <v>237448.09</v>
      </c>
      <c r="E99" s="104">
        <f t="shared" si="27"/>
        <v>1524000</v>
      </c>
      <c r="F99" s="92">
        <f t="shared" ref="F99:K99" si="35">SUM(F80:F82,F85,F96:F98)</f>
        <v>0</v>
      </c>
      <c r="G99" s="92">
        <f t="shared" si="35"/>
        <v>1524000</v>
      </c>
      <c r="H99" s="92">
        <f t="shared" si="35"/>
        <v>0</v>
      </c>
      <c r="I99" s="92">
        <f t="shared" si="35"/>
        <v>0</v>
      </c>
      <c r="J99" s="92">
        <f t="shared" si="35"/>
        <v>237448.09</v>
      </c>
      <c r="K99" s="92">
        <f t="shared" si="35"/>
        <v>0</v>
      </c>
      <c r="L99" s="180">
        <f t="shared" si="29"/>
        <v>237448.09</v>
      </c>
      <c r="M99" s="741">
        <f t="shared" si="30"/>
        <v>1524000</v>
      </c>
      <c r="N99" s="742"/>
    </row>
    <row r="100" spans="1:14" ht="15.75" x14ac:dyDescent="0.25">
      <c r="A100" s="60">
        <v>91</v>
      </c>
      <c r="B100" s="61" t="s">
        <v>205</v>
      </c>
      <c r="C100" s="88" t="s">
        <v>206</v>
      </c>
      <c r="D100" s="104">
        <f t="shared" si="26"/>
        <v>0</v>
      </c>
      <c r="E100" s="104">
        <f t="shared" si="27"/>
        <v>0</v>
      </c>
      <c r="F100" s="62"/>
      <c r="G100" s="62"/>
      <c r="H100" s="63"/>
      <c r="I100" s="63"/>
      <c r="J100" s="63"/>
      <c r="K100" s="63"/>
      <c r="L100" s="180">
        <f t="shared" si="29"/>
        <v>0</v>
      </c>
      <c r="M100" s="180">
        <f t="shared" si="30"/>
        <v>0</v>
      </c>
    </row>
    <row r="101" spans="1:14" ht="15.75" x14ac:dyDescent="0.25">
      <c r="A101" s="60">
        <v>92</v>
      </c>
      <c r="B101" s="61" t="s">
        <v>346</v>
      </c>
      <c r="C101" s="88" t="s">
        <v>347</v>
      </c>
      <c r="D101" s="104">
        <f t="shared" si="26"/>
        <v>0</v>
      </c>
      <c r="E101" s="104">
        <f t="shared" si="27"/>
        <v>0</v>
      </c>
      <c r="F101" s="62"/>
      <c r="G101" s="62"/>
      <c r="H101" s="63"/>
      <c r="I101" s="63"/>
      <c r="J101" s="63"/>
      <c r="K101" s="63"/>
      <c r="L101" s="180">
        <f t="shared" si="29"/>
        <v>0</v>
      </c>
      <c r="M101" s="180">
        <f t="shared" si="30"/>
        <v>0</v>
      </c>
    </row>
    <row r="102" spans="1:14" ht="15.75" x14ac:dyDescent="0.25">
      <c r="A102" s="60">
        <v>93</v>
      </c>
      <c r="B102" s="61" t="s">
        <v>560</v>
      </c>
      <c r="C102" s="88" t="s">
        <v>349</v>
      </c>
      <c r="D102" s="104">
        <f t="shared" si="26"/>
        <v>0</v>
      </c>
      <c r="E102" s="104">
        <f t="shared" si="27"/>
        <v>0</v>
      </c>
      <c r="F102" s="62"/>
      <c r="G102" s="62"/>
      <c r="H102" s="63"/>
      <c r="I102" s="63"/>
      <c r="J102" s="63"/>
      <c r="K102" s="63"/>
      <c r="L102" s="180">
        <f t="shared" si="29"/>
        <v>0</v>
      </c>
      <c r="M102" s="180">
        <f t="shared" si="30"/>
        <v>0</v>
      </c>
    </row>
    <row r="103" spans="1:14" ht="30" x14ac:dyDescent="0.25">
      <c r="A103" s="60">
        <v>94</v>
      </c>
      <c r="B103" s="61" t="s">
        <v>446</v>
      </c>
      <c r="C103" s="88" t="s">
        <v>208</v>
      </c>
      <c r="D103" s="104">
        <f t="shared" si="26"/>
        <v>0</v>
      </c>
      <c r="E103" s="104">
        <f t="shared" si="27"/>
        <v>0</v>
      </c>
      <c r="F103" s="62">
        <f>F102*0.27</f>
        <v>0</v>
      </c>
      <c r="G103" s="62"/>
      <c r="H103" s="62"/>
      <c r="I103" s="62"/>
      <c r="J103" s="62"/>
      <c r="K103" s="62"/>
      <c r="L103" s="180">
        <f t="shared" si="29"/>
        <v>0</v>
      </c>
      <c r="M103" s="180">
        <f t="shared" si="30"/>
        <v>0</v>
      </c>
    </row>
    <row r="104" spans="1:14" ht="15.75" x14ac:dyDescent="0.25">
      <c r="A104" s="1010" t="s">
        <v>376</v>
      </c>
      <c r="B104" s="1011"/>
      <c r="C104" s="1011"/>
      <c r="D104" s="104">
        <f t="shared" si="26"/>
        <v>0</v>
      </c>
      <c r="E104" s="104">
        <f t="shared" si="27"/>
        <v>0</v>
      </c>
      <c r="F104" s="92">
        <f t="shared" ref="F104" si="36">SUM(F100:F103)</f>
        <v>0</v>
      </c>
      <c r="G104" s="92">
        <f t="shared" ref="G104:K104" si="37">SUM(G100:G103)</f>
        <v>0</v>
      </c>
      <c r="H104" s="92">
        <f t="shared" si="37"/>
        <v>0</v>
      </c>
      <c r="I104" s="92">
        <f t="shared" si="37"/>
        <v>0</v>
      </c>
      <c r="J104" s="92">
        <f t="shared" si="37"/>
        <v>0</v>
      </c>
      <c r="K104" s="92">
        <f t="shared" si="37"/>
        <v>0</v>
      </c>
      <c r="L104" s="180">
        <f t="shared" si="29"/>
        <v>0</v>
      </c>
      <c r="M104" s="180">
        <f t="shared" si="30"/>
        <v>0</v>
      </c>
    </row>
    <row r="105" spans="1:14" ht="20.25" x14ac:dyDescent="0.3">
      <c r="A105" s="1012" t="s">
        <v>377</v>
      </c>
      <c r="B105" s="1013"/>
      <c r="C105" s="1013"/>
      <c r="D105" s="104">
        <f t="shared" si="26"/>
        <v>82724756.090000004</v>
      </c>
      <c r="E105" s="104">
        <f t="shared" si="27"/>
        <v>89089744.469999999</v>
      </c>
      <c r="F105" s="188">
        <f t="shared" ref="F105" si="38">SUM(F25,F79,F99,F104)</f>
        <v>444000</v>
      </c>
      <c r="G105" s="188">
        <f t="shared" ref="G105:K105" si="39">SUM(G25,G79,G99,G104)</f>
        <v>13766174.15</v>
      </c>
      <c r="H105" s="188">
        <f t="shared" si="39"/>
        <v>74658104</v>
      </c>
      <c r="I105" s="188">
        <f t="shared" si="39"/>
        <v>67892792.069999993</v>
      </c>
      <c r="J105" s="188">
        <f t="shared" si="39"/>
        <v>7622652.0899999999</v>
      </c>
      <c r="K105" s="188">
        <f t="shared" si="39"/>
        <v>7430778.25</v>
      </c>
      <c r="L105" s="180">
        <f t="shared" si="29"/>
        <v>82724756.090000004</v>
      </c>
      <c r="M105" s="180">
        <f t="shared" si="30"/>
        <v>89089744.469999999</v>
      </c>
    </row>
    <row r="106" spans="1:14" ht="21" x14ac:dyDescent="0.35">
      <c r="A106" s="1020" t="s">
        <v>354</v>
      </c>
      <c r="B106" s="1021"/>
      <c r="C106" s="1021"/>
      <c r="D106" s="1021"/>
      <c r="E106" s="1021"/>
      <c r="F106" s="1021"/>
      <c r="G106" s="1021"/>
      <c r="H106" s="1021"/>
      <c r="I106" s="1021"/>
      <c r="J106" s="1021"/>
      <c r="K106" s="1021"/>
      <c r="L106" s="1021"/>
      <c r="M106" s="382"/>
    </row>
    <row r="107" spans="1:14" ht="15.75" x14ac:dyDescent="0.25">
      <c r="A107" s="36">
        <v>95</v>
      </c>
      <c r="B107" s="37" t="s">
        <v>386</v>
      </c>
      <c r="C107" s="55" t="s">
        <v>165</v>
      </c>
      <c r="D107" s="104">
        <f t="shared" si="26"/>
        <v>22193</v>
      </c>
      <c r="E107" s="104">
        <f t="shared" si="27"/>
        <v>0</v>
      </c>
      <c r="F107" s="93"/>
      <c r="G107" s="93"/>
      <c r="H107" s="38"/>
      <c r="I107" s="38"/>
      <c r="J107" s="38">
        <v>22193</v>
      </c>
      <c r="K107" s="38"/>
      <c r="L107" s="180">
        <f t="shared" si="29"/>
        <v>22193</v>
      </c>
      <c r="M107" s="180">
        <f t="shared" si="29"/>
        <v>0</v>
      </c>
    </row>
    <row r="108" spans="1:14" ht="15.75" x14ac:dyDescent="0.25">
      <c r="A108" s="36">
        <v>96</v>
      </c>
      <c r="B108" s="39" t="s">
        <v>387</v>
      </c>
      <c r="C108" s="55" t="s">
        <v>169</v>
      </c>
      <c r="D108" s="104">
        <f t="shared" si="26"/>
        <v>0</v>
      </c>
      <c r="E108" s="104">
        <f t="shared" si="27"/>
        <v>0</v>
      </c>
      <c r="F108" s="94"/>
      <c r="G108" s="94"/>
      <c r="H108" s="111"/>
      <c r="I108" s="111"/>
      <c r="J108" s="111"/>
      <c r="K108" s="111"/>
      <c r="L108" s="180">
        <f t="shared" ref="L108:L114" si="40">SUM(F108,H108,J108)</f>
        <v>0</v>
      </c>
      <c r="M108" s="180">
        <f t="shared" ref="M108:M114" si="41">SUM(G108,I108,K108)</f>
        <v>0</v>
      </c>
    </row>
    <row r="109" spans="1:14" ht="15.75" x14ac:dyDescent="0.25">
      <c r="A109" s="36">
        <v>97</v>
      </c>
      <c r="B109" s="39" t="s">
        <v>403</v>
      </c>
      <c r="C109" s="55" t="s">
        <v>404</v>
      </c>
      <c r="D109" s="104">
        <f t="shared" si="26"/>
        <v>512329</v>
      </c>
      <c r="E109" s="104">
        <f t="shared" si="27"/>
        <v>0</v>
      </c>
      <c r="F109" s="94"/>
      <c r="G109" s="94"/>
      <c r="H109" s="111"/>
      <c r="I109" s="111"/>
      <c r="J109" s="869">
        <v>512329</v>
      </c>
      <c r="K109" s="111"/>
      <c r="L109" s="180">
        <f t="shared" si="40"/>
        <v>512329</v>
      </c>
      <c r="M109" s="180">
        <f t="shared" si="41"/>
        <v>0</v>
      </c>
    </row>
    <row r="110" spans="1:14" s="100" customFormat="1" ht="15.75" x14ac:dyDescent="0.25">
      <c r="A110" s="95">
        <v>98</v>
      </c>
      <c r="B110" s="96" t="s">
        <v>355</v>
      </c>
      <c r="C110" s="97" t="s">
        <v>356</v>
      </c>
      <c r="D110" s="104">
        <f t="shared" si="26"/>
        <v>82190234.090000004</v>
      </c>
      <c r="E110" s="104">
        <f t="shared" si="27"/>
        <v>89089744.469999999</v>
      </c>
      <c r="F110" s="99">
        <f t="shared" ref="F110:K110" si="42">SUM(F111:F113)</f>
        <v>444000</v>
      </c>
      <c r="G110" s="99">
        <f t="shared" si="42"/>
        <v>13766174.15</v>
      </c>
      <c r="H110" s="99">
        <f t="shared" si="42"/>
        <v>74658104</v>
      </c>
      <c r="I110" s="99">
        <f t="shared" si="42"/>
        <v>67892792.069999993</v>
      </c>
      <c r="J110" s="99">
        <f t="shared" si="42"/>
        <v>7088130.0899999999</v>
      </c>
      <c r="K110" s="99">
        <f t="shared" si="42"/>
        <v>7430778.25</v>
      </c>
      <c r="L110" s="180">
        <f t="shared" si="40"/>
        <v>82190234.090000004</v>
      </c>
      <c r="M110" s="180">
        <f t="shared" si="41"/>
        <v>89089744.469999999</v>
      </c>
    </row>
    <row r="111" spans="1:14" ht="30" x14ac:dyDescent="0.25">
      <c r="A111" s="36">
        <v>99</v>
      </c>
      <c r="B111" s="45" t="s">
        <v>390</v>
      </c>
      <c r="C111" s="55"/>
      <c r="D111" s="104">
        <f t="shared" si="26"/>
        <v>11424200</v>
      </c>
      <c r="E111" s="104">
        <f t="shared" si="27"/>
        <v>9547600</v>
      </c>
      <c r="F111" s="94">
        <f>'3mell-Normatíva'!F41</f>
        <v>3340000</v>
      </c>
      <c r="G111" s="94">
        <f>'3mell-Normatíva'!G41</f>
        <v>1853000</v>
      </c>
      <c r="H111" s="289"/>
      <c r="I111" s="111"/>
      <c r="J111" s="94">
        <f>'3mell-Normatíva'!E32</f>
        <v>8084200</v>
      </c>
      <c r="K111" s="289">
        <f>'3mell-Normatíva'!G32</f>
        <v>7694600</v>
      </c>
      <c r="L111" s="180">
        <f t="shared" si="40"/>
        <v>11424200</v>
      </c>
      <c r="M111" s="180">
        <f t="shared" si="41"/>
        <v>9547600</v>
      </c>
    </row>
    <row r="112" spans="1:14" ht="30" x14ac:dyDescent="0.25">
      <c r="A112" s="36">
        <v>100</v>
      </c>
      <c r="B112" s="45" t="s">
        <v>391</v>
      </c>
      <c r="C112" s="55"/>
      <c r="D112" s="104">
        <f t="shared" si="26"/>
        <v>56585542</v>
      </c>
      <c r="E112" s="104">
        <f t="shared" si="27"/>
        <v>60854850</v>
      </c>
      <c r="F112" s="94">
        <f>'3mell-Normatíva'!F40</f>
        <v>8285500</v>
      </c>
      <c r="G112" s="94">
        <f>'3mell-Normatíva'!G40</f>
        <v>9360000</v>
      </c>
      <c r="H112" s="94">
        <v>48300042</v>
      </c>
      <c r="I112" s="94">
        <v>51494850</v>
      </c>
      <c r="J112" s="111"/>
      <c r="K112" s="111"/>
      <c r="L112" s="180">
        <f t="shared" si="40"/>
        <v>56585542</v>
      </c>
      <c r="M112" s="180">
        <f t="shared" si="41"/>
        <v>60854850</v>
      </c>
    </row>
    <row r="113" spans="1:13" ht="15.75" x14ac:dyDescent="0.25">
      <c r="A113" s="36">
        <v>101</v>
      </c>
      <c r="B113" s="45" t="s">
        <v>445</v>
      </c>
      <c r="C113" s="55"/>
      <c r="D113" s="104">
        <f t="shared" si="26"/>
        <v>14180492.09</v>
      </c>
      <c r="E113" s="104">
        <f t="shared" si="27"/>
        <v>18687294.469999991</v>
      </c>
      <c r="F113" s="94">
        <f>F105-F111-F112</f>
        <v>-11181500</v>
      </c>
      <c r="G113" s="94">
        <f t="shared" ref="G113:K113" si="43">G105-G111-G112</f>
        <v>2553174.1500000004</v>
      </c>
      <c r="H113" s="94">
        <f t="shared" si="43"/>
        <v>26358062</v>
      </c>
      <c r="I113" s="94">
        <f>I105-I111-I112</f>
        <v>16397942.069999993</v>
      </c>
      <c r="J113" s="94">
        <f>J105-J111-J112-J107-J109</f>
        <v>-996069.91000000015</v>
      </c>
      <c r="K113" s="94">
        <f t="shared" si="43"/>
        <v>-263821.75</v>
      </c>
      <c r="L113" s="180">
        <f t="shared" si="40"/>
        <v>14180492.09</v>
      </c>
      <c r="M113" s="180">
        <f t="shared" si="41"/>
        <v>18687294.469999991</v>
      </c>
    </row>
    <row r="114" spans="1:13" ht="24" thickBot="1" x14ac:dyDescent="0.4">
      <c r="A114" s="1022" t="s">
        <v>357</v>
      </c>
      <c r="B114" s="1023"/>
      <c r="C114" s="1023"/>
      <c r="D114" s="420">
        <f t="shared" si="26"/>
        <v>82724756.090000004</v>
      </c>
      <c r="E114" s="57">
        <f>SUM(E107:E110)</f>
        <v>89089744.469999999</v>
      </c>
      <c r="F114" s="57">
        <f t="shared" ref="F114:K114" si="44">SUM(F107:F110)</f>
        <v>444000</v>
      </c>
      <c r="G114" s="57">
        <f t="shared" si="44"/>
        <v>13766174.15</v>
      </c>
      <c r="H114" s="57">
        <f t="shared" si="44"/>
        <v>74658104</v>
      </c>
      <c r="I114" s="57">
        <f t="shared" si="44"/>
        <v>67892792.069999993</v>
      </c>
      <c r="J114" s="57">
        <f t="shared" si="44"/>
        <v>7622652.0899999999</v>
      </c>
      <c r="K114" s="57">
        <f t="shared" si="44"/>
        <v>7430778.25</v>
      </c>
      <c r="L114" s="180">
        <f t="shared" si="40"/>
        <v>82724756.090000004</v>
      </c>
      <c r="M114" s="180">
        <f t="shared" si="41"/>
        <v>89089744.469999999</v>
      </c>
    </row>
    <row r="115" spans="1:13" ht="23.25" x14ac:dyDescent="0.35">
      <c r="A115" s="1009" t="s">
        <v>381</v>
      </c>
      <c r="B115" s="1009"/>
      <c r="C115" s="1009"/>
      <c r="D115" s="103">
        <f>D105-D114</f>
        <v>0</v>
      </c>
      <c r="E115" s="103">
        <f>E105-E114</f>
        <v>0</v>
      </c>
      <c r="F115" s="103">
        <f>F105-F114</f>
        <v>0</v>
      </c>
      <c r="G115" s="103">
        <f t="shared" ref="G115:L115" si="45">G105-G114</f>
        <v>0</v>
      </c>
      <c r="H115" s="103">
        <f t="shared" si="45"/>
        <v>0</v>
      </c>
      <c r="I115" s="103">
        <f t="shared" si="45"/>
        <v>0</v>
      </c>
      <c r="J115" s="103">
        <f t="shared" si="45"/>
        <v>0</v>
      </c>
      <c r="K115" s="103">
        <f t="shared" si="45"/>
        <v>0</v>
      </c>
      <c r="L115" s="103">
        <f t="shared" si="45"/>
        <v>0</v>
      </c>
      <c r="M115" s="103">
        <f t="shared" ref="M115" si="46">M105-M114</f>
        <v>0</v>
      </c>
    </row>
  </sheetData>
  <mergeCells count="29">
    <mergeCell ref="A115:C115"/>
    <mergeCell ref="H5:H6"/>
    <mergeCell ref="A104:C104"/>
    <mergeCell ref="A105:C105"/>
    <mergeCell ref="F5:F6"/>
    <mergeCell ref="A4:A6"/>
    <mergeCell ref="B4:B6"/>
    <mergeCell ref="C4:C6"/>
    <mergeCell ref="A106:L106"/>
    <mergeCell ref="A114:C114"/>
    <mergeCell ref="A25:C25"/>
    <mergeCell ref="A79:B79"/>
    <mergeCell ref="A99:C99"/>
    <mergeCell ref="L5:L6"/>
    <mergeCell ref="J5:J6"/>
    <mergeCell ref="E5:E6"/>
    <mergeCell ref="A1:I1"/>
    <mergeCell ref="B2:L2"/>
    <mergeCell ref="F3:L3"/>
    <mergeCell ref="D5:D6"/>
    <mergeCell ref="D4:E4"/>
    <mergeCell ref="F4:G4"/>
    <mergeCell ref="H4:I4"/>
    <mergeCell ref="J4:K4"/>
    <mergeCell ref="L4:M4"/>
    <mergeCell ref="M5:M6"/>
    <mergeCell ref="G5:G6"/>
    <mergeCell ref="I5:I6"/>
    <mergeCell ref="K5:K6"/>
  </mergeCells>
  <pageMargins left="0.23622047244094491" right="0.23622047244094491" top="0.74803149606299213" bottom="0.74803149606299213" header="0.31496062992125984" footer="0.31496062992125984"/>
  <pageSetup paperSize="8" scale="68" fitToWidth="0" orientation="landscape" r:id="rId1"/>
  <colBreaks count="1" manualBreakCount="1">
    <brk id="1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T111"/>
  <sheetViews>
    <sheetView zoomScale="90" zoomScaleNormal="90" workbookViewId="0">
      <selection activeCell="G75" sqref="G75"/>
    </sheetView>
  </sheetViews>
  <sheetFormatPr defaultRowHeight="15" x14ac:dyDescent="0.25"/>
  <cols>
    <col min="1" max="1" width="9.140625" style="149"/>
    <col min="2" max="2" width="34.7109375" style="35" customWidth="1"/>
    <col min="3" max="3" width="11" style="149" customWidth="1"/>
    <col min="4" max="4" width="23.7109375" style="149" customWidth="1"/>
    <col min="5" max="5" width="21.140625" style="259" customWidth="1"/>
    <col min="6" max="6" width="19.7109375" style="59" customWidth="1"/>
    <col min="7" max="9" width="18.28515625" style="59" customWidth="1"/>
    <col min="10" max="10" width="21.85546875" style="149" customWidth="1"/>
    <col min="11" max="11" width="21.85546875" style="259" customWidth="1"/>
    <col min="12" max="12" width="22.5703125" style="149" customWidth="1"/>
    <col min="13" max="13" width="20.85546875" style="149" customWidth="1"/>
    <col min="14" max="16384" width="9.140625" style="149"/>
  </cols>
  <sheetData>
    <row r="1" spans="1:13" x14ac:dyDescent="0.25">
      <c r="A1" s="976" t="s">
        <v>759</v>
      </c>
      <c r="B1" s="976"/>
      <c r="C1" s="976"/>
      <c r="D1" s="976"/>
      <c r="E1" s="976"/>
      <c r="F1" s="976"/>
      <c r="G1" s="976"/>
      <c r="H1" s="976"/>
      <c r="I1" s="976"/>
      <c r="J1" s="976"/>
      <c r="K1" s="976"/>
    </row>
    <row r="2" spans="1:13" x14ac:dyDescent="0.25">
      <c r="B2" s="34"/>
    </row>
    <row r="3" spans="1:13" ht="30" customHeight="1" x14ac:dyDescent="0.25">
      <c r="A3" s="35"/>
      <c r="B3" s="1044" t="s">
        <v>678</v>
      </c>
      <c r="C3" s="1044"/>
      <c r="D3" s="1044"/>
      <c r="E3" s="1044"/>
      <c r="F3" s="1044"/>
      <c r="G3" s="1044"/>
      <c r="H3" s="1044"/>
      <c r="I3" s="1044"/>
      <c r="J3" s="1044"/>
      <c r="K3" s="274"/>
    </row>
    <row r="4" spans="1:13" ht="30" customHeight="1" x14ac:dyDescent="0.25">
      <c r="A4" s="35"/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49" t="s">
        <v>388</v>
      </c>
    </row>
    <row r="5" spans="1:13" s="194" customFormat="1" ht="21" customHeight="1" thickBot="1" x14ac:dyDescent="0.3">
      <c r="A5" s="35"/>
      <c r="B5" s="192"/>
      <c r="C5" s="192"/>
      <c r="D5" s="192"/>
      <c r="E5" s="192"/>
      <c r="F5" s="1043" t="s">
        <v>524</v>
      </c>
      <c r="G5" s="1043"/>
      <c r="H5" s="1043"/>
      <c r="I5" s="1043"/>
      <c r="J5" s="1043"/>
      <c r="K5" s="1043"/>
      <c r="L5" s="1043"/>
    </row>
    <row r="6" spans="1:13" ht="51" customHeight="1" x14ac:dyDescent="0.25">
      <c r="A6" s="1014" t="s">
        <v>275</v>
      </c>
      <c r="B6" s="1016" t="s">
        <v>68</v>
      </c>
      <c r="C6" s="1018" t="s">
        <v>67</v>
      </c>
      <c r="D6" s="1003" t="s">
        <v>276</v>
      </c>
      <c r="E6" s="1003"/>
      <c r="F6" s="1046" t="s">
        <v>447</v>
      </c>
      <c r="G6" s="1046"/>
      <c r="H6" s="1050" t="s">
        <v>635</v>
      </c>
      <c r="I6" s="1051"/>
      <c r="J6" s="1046" t="s">
        <v>448</v>
      </c>
      <c r="K6" s="1046"/>
      <c r="L6" s="1046" t="s">
        <v>449</v>
      </c>
      <c r="M6" s="1049"/>
    </row>
    <row r="7" spans="1:13" ht="15" customHeight="1" x14ac:dyDescent="0.25">
      <c r="A7" s="1015"/>
      <c r="B7" s="1017"/>
      <c r="C7" s="1019"/>
      <c r="D7" s="1002" t="s">
        <v>668</v>
      </c>
      <c r="E7" s="1002" t="s">
        <v>675</v>
      </c>
      <c r="F7" s="1045" t="s">
        <v>668</v>
      </c>
      <c r="G7" s="1045" t="s">
        <v>675</v>
      </c>
      <c r="H7" s="1052" t="s">
        <v>679</v>
      </c>
      <c r="I7" s="1052" t="s">
        <v>675</v>
      </c>
      <c r="J7" s="1045" t="s">
        <v>668</v>
      </c>
      <c r="K7" s="1045" t="s">
        <v>675</v>
      </c>
      <c r="L7" s="1045" t="s">
        <v>668</v>
      </c>
      <c r="M7" s="1054" t="s">
        <v>675</v>
      </c>
    </row>
    <row r="8" spans="1:13" ht="15.75" customHeight="1" x14ac:dyDescent="0.25">
      <c r="A8" s="1015"/>
      <c r="B8" s="1017"/>
      <c r="C8" s="1019"/>
      <c r="D8" s="1002"/>
      <c r="E8" s="1002"/>
      <c r="F8" s="1045"/>
      <c r="G8" s="1045"/>
      <c r="H8" s="1053"/>
      <c r="I8" s="1053"/>
      <c r="J8" s="1045"/>
      <c r="K8" s="1045"/>
      <c r="L8" s="1045"/>
      <c r="M8" s="1054"/>
    </row>
    <row r="9" spans="1:13" ht="30" x14ac:dyDescent="0.25">
      <c r="A9" s="60">
        <v>1</v>
      </c>
      <c r="B9" s="61" t="s">
        <v>71</v>
      </c>
      <c r="C9" s="88" t="s">
        <v>72</v>
      </c>
      <c r="D9" s="104">
        <f>SUM(F9,H9,J9,L9)</f>
        <v>12230448</v>
      </c>
      <c r="E9" s="104">
        <f>SUM(G9,I9,K9,M9)</f>
        <v>13808230</v>
      </c>
      <c r="F9" s="62">
        <v>12230448</v>
      </c>
      <c r="G9" s="62">
        <v>10778520</v>
      </c>
      <c r="H9" s="62"/>
      <c r="I9" s="62"/>
      <c r="J9" s="63"/>
      <c r="K9" s="63"/>
      <c r="L9" s="63"/>
      <c r="M9" s="289">
        <v>3029710</v>
      </c>
    </row>
    <row r="10" spans="1:13" x14ac:dyDescent="0.25">
      <c r="A10" s="60">
        <v>2</v>
      </c>
      <c r="B10" s="61" t="s">
        <v>277</v>
      </c>
      <c r="C10" s="88" t="s">
        <v>278</v>
      </c>
      <c r="D10" s="104">
        <f t="shared" ref="D10:D41" si="0">SUM(F10,H10,J10,L10)</f>
        <v>0</v>
      </c>
      <c r="E10" s="104">
        <f t="shared" ref="E10:E73" si="1">SUM(G10,I10,K10,M10)</f>
        <v>0</v>
      </c>
      <c r="F10" s="62"/>
      <c r="G10" s="62"/>
      <c r="H10" s="62"/>
      <c r="I10" s="62"/>
      <c r="J10" s="63"/>
      <c r="K10" s="63"/>
      <c r="L10" s="63"/>
      <c r="M10" s="289"/>
    </row>
    <row r="11" spans="1:13" x14ac:dyDescent="0.25">
      <c r="A11" s="60">
        <v>3</v>
      </c>
      <c r="B11" s="61" t="s">
        <v>279</v>
      </c>
      <c r="C11" s="88" t="s">
        <v>280</v>
      </c>
      <c r="D11" s="104">
        <f t="shared" si="0"/>
        <v>0</v>
      </c>
      <c r="E11" s="104">
        <f t="shared" si="1"/>
        <v>0</v>
      </c>
      <c r="F11" s="62">
        <v>0</v>
      </c>
      <c r="G11" s="62"/>
      <c r="H11" s="62"/>
      <c r="I11" s="62"/>
      <c r="J11" s="63"/>
      <c r="K11" s="63"/>
      <c r="L11" s="63"/>
      <c r="M11" s="289"/>
    </row>
    <row r="12" spans="1:13" ht="30" x14ac:dyDescent="0.25">
      <c r="A12" s="60">
        <v>4</v>
      </c>
      <c r="B12" s="61" t="s">
        <v>281</v>
      </c>
      <c r="C12" s="88" t="s">
        <v>73</v>
      </c>
      <c r="D12" s="104">
        <f t="shared" si="0"/>
        <v>0</v>
      </c>
      <c r="E12" s="104">
        <f t="shared" si="1"/>
        <v>0</v>
      </c>
      <c r="F12" s="62"/>
      <c r="G12" s="62"/>
      <c r="H12" s="62"/>
      <c r="I12" s="62"/>
      <c r="J12" s="63"/>
      <c r="K12" s="63"/>
      <c r="L12" s="63"/>
      <c r="M12" s="289"/>
    </row>
    <row r="13" spans="1:13" x14ac:dyDescent="0.25">
      <c r="A13" s="60">
        <v>5</v>
      </c>
      <c r="B13" s="61" t="s">
        <v>282</v>
      </c>
      <c r="C13" s="88" t="s">
        <v>283</v>
      </c>
      <c r="D13" s="104">
        <f t="shared" si="0"/>
        <v>0</v>
      </c>
      <c r="E13" s="104">
        <f t="shared" si="1"/>
        <v>0</v>
      </c>
      <c r="F13" s="62"/>
      <c r="G13" s="62"/>
      <c r="H13" s="62"/>
      <c r="I13" s="62"/>
      <c r="J13" s="63"/>
      <c r="K13" s="63"/>
      <c r="L13" s="63"/>
      <c r="M13" s="289"/>
    </row>
    <row r="14" spans="1:13" x14ac:dyDescent="0.25">
      <c r="A14" s="60">
        <v>6</v>
      </c>
      <c r="B14" s="61" t="s">
        <v>74</v>
      </c>
      <c r="C14" s="88" t="s">
        <v>75</v>
      </c>
      <c r="D14" s="104">
        <f t="shared" si="0"/>
        <v>0</v>
      </c>
      <c r="E14" s="104">
        <f t="shared" si="1"/>
        <v>0</v>
      </c>
      <c r="F14" s="62"/>
      <c r="G14" s="62"/>
      <c r="H14" s="62"/>
      <c r="I14" s="62"/>
      <c r="J14" s="63"/>
      <c r="K14" s="63"/>
      <c r="L14" s="63"/>
      <c r="M14" s="289"/>
    </row>
    <row r="15" spans="1:13" x14ac:dyDescent="0.25">
      <c r="A15" s="60">
        <v>7</v>
      </c>
      <c r="B15" s="61" t="s">
        <v>284</v>
      </c>
      <c r="C15" s="88" t="s">
        <v>77</v>
      </c>
      <c r="D15" s="104">
        <f t="shared" si="0"/>
        <v>384000</v>
      </c>
      <c r="E15" s="104">
        <f t="shared" si="1"/>
        <v>600000</v>
      </c>
      <c r="F15" s="62">
        <v>288000</v>
      </c>
      <c r="G15" s="62">
        <v>450000</v>
      </c>
      <c r="H15" s="62"/>
      <c r="I15" s="62"/>
      <c r="J15" s="63"/>
      <c r="K15" s="63"/>
      <c r="L15" s="63">
        <v>96000</v>
      </c>
      <c r="M15" s="701">
        <v>150000</v>
      </c>
    </row>
    <row r="16" spans="1:13" x14ac:dyDescent="0.25">
      <c r="A16" s="60">
        <v>8</v>
      </c>
      <c r="B16" s="61" t="s">
        <v>285</v>
      </c>
      <c r="C16" s="88" t="s">
        <v>286</v>
      </c>
      <c r="D16" s="104">
        <f t="shared" si="0"/>
        <v>0</v>
      </c>
      <c r="E16" s="104">
        <f t="shared" si="1"/>
        <v>0</v>
      </c>
      <c r="F16" s="62"/>
      <c r="G16" s="62"/>
      <c r="H16" s="62"/>
      <c r="I16" s="62"/>
      <c r="J16" s="63"/>
      <c r="K16" s="63"/>
      <c r="L16" s="63"/>
      <c r="M16" s="289"/>
    </row>
    <row r="17" spans="1:20" x14ac:dyDescent="0.25">
      <c r="A17" s="60">
        <v>9</v>
      </c>
      <c r="B17" s="61" t="s">
        <v>287</v>
      </c>
      <c r="C17" s="88" t="s">
        <v>79</v>
      </c>
      <c r="D17" s="104">
        <f t="shared" si="0"/>
        <v>181929</v>
      </c>
      <c r="E17" s="104">
        <f t="shared" si="1"/>
        <v>178000</v>
      </c>
      <c r="F17" s="62">
        <v>181929</v>
      </c>
      <c r="G17" s="62">
        <v>178000</v>
      </c>
      <c r="H17" s="62"/>
      <c r="I17" s="62"/>
      <c r="J17" s="63"/>
      <c r="K17" s="63"/>
      <c r="L17" s="63"/>
      <c r="M17" s="289"/>
    </row>
    <row r="18" spans="1:20" x14ac:dyDescent="0.25">
      <c r="A18" s="60">
        <v>10</v>
      </c>
      <c r="B18" s="61" t="s">
        <v>288</v>
      </c>
      <c r="C18" s="88" t="s">
        <v>81</v>
      </c>
      <c r="D18" s="104">
        <f t="shared" si="0"/>
        <v>0</v>
      </c>
      <c r="E18" s="104">
        <f t="shared" si="1"/>
        <v>60000</v>
      </c>
      <c r="F18" s="62"/>
      <c r="G18" s="62">
        <v>48000</v>
      </c>
      <c r="H18" s="62"/>
      <c r="I18" s="62"/>
      <c r="J18" s="63"/>
      <c r="K18" s="63"/>
      <c r="L18" s="63"/>
      <c r="M18" s="289">
        <v>12000</v>
      </c>
    </row>
    <row r="19" spans="1:20" x14ac:dyDescent="0.25">
      <c r="A19" s="60">
        <v>11</v>
      </c>
      <c r="B19" s="61" t="s">
        <v>289</v>
      </c>
      <c r="C19" s="88" t="s">
        <v>290</v>
      </c>
      <c r="D19" s="104">
        <f t="shared" si="0"/>
        <v>0</v>
      </c>
      <c r="E19" s="104">
        <f t="shared" si="1"/>
        <v>0</v>
      </c>
      <c r="F19" s="62"/>
      <c r="G19" s="62"/>
      <c r="H19" s="62"/>
      <c r="I19" s="62"/>
      <c r="J19" s="63"/>
      <c r="K19" s="63"/>
      <c r="L19" s="63"/>
      <c r="M19" s="289"/>
    </row>
    <row r="20" spans="1:20" x14ac:dyDescent="0.25">
      <c r="A20" s="60">
        <v>12</v>
      </c>
      <c r="B20" s="61" t="s">
        <v>291</v>
      </c>
      <c r="C20" s="88" t="s">
        <v>292</v>
      </c>
      <c r="D20" s="104">
        <f t="shared" si="0"/>
        <v>0</v>
      </c>
      <c r="E20" s="104">
        <f t="shared" si="1"/>
        <v>0</v>
      </c>
      <c r="F20" s="62"/>
      <c r="G20" s="62"/>
      <c r="H20" s="62"/>
      <c r="I20" s="62"/>
      <c r="J20" s="63"/>
      <c r="K20" s="63"/>
      <c r="L20" s="63"/>
      <c r="M20" s="289"/>
    </row>
    <row r="21" spans="1:20" ht="30" x14ac:dyDescent="0.25">
      <c r="A21" s="60">
        <v>13</v>
      </c>
      <c r="B21" s="61" t="s">
        <v>293</v>
      </c>
      <c r="C21" s="88" t="s">
        <v>83</v>
      </c>
      <c r="D21" s="104">
        <f t="shared" si="0"/>
        <v>271160</v>
      </c>
      <c r="E21" s="104">
        <f t="shared" si="1"/>
        <v>0</v>
      </c>
      <c r="F21" s="62">
        <v>271160</v>
      </c>
      <c r="G21" s="62"/>
      <c r="H21" s="62"/>
      <c r="I21" s="62"/>
      <c r="J21" s="63"/>
      <c r="K21" s="63"/>
      <c r="L21" s="63"/>
      <c r="M21" s="289"/>
    </row>
    <row r="22" spans="1:20" ht="29.25" x14ac:dyDescent="0.25">
      <c r="A22" s="65">
        <v>14</v>
      </c>
      <c r="B22" s="66" t="s">
        <v>294</v>
      </c>
      <c r="C22" s="181" t="s">
        <v>87</v>
      </c>
      <c r="D22" s="104">
        <f t="shared" si="0"/>
        <v>13067537</v>
      </c>
      <c r="E22" s="104">
        <f t="shared" si="1"/>
        <v>14646230</v>
      </c>
      <c r="F22" s="67">
        <f>SUM(F9:F21)</f>
        <v>12971537</v>
      </c>
      <c r="G22" s="67">
        <f t="shared" ref="G22:M22" si="2">SUM(G9:G21)</f>
        <v>11454520</v>
      </c>
      <c r="H22" s="67"/>
      <c r="I22" s="67"/>
      <c r="J22" s="67">
        <f t="shared" si="2"/>
        <v>0</v>
      </c>
      <c r="K22" s="67">
        <f t="shared" si="2"/>
        <v>0</v>
      </c>
      <c r="L22" s="67">
        <f t="shared" si="2"/>
        <v>96000</v>
      </c>
      <c r="M22" s="67">
        <f t="shared" si="2"/>
        <v>3191710</v>
      </c>
    </row>
    <row r="23" spans="1:20" ht="30" x14ac:dyDescent="0.25">
      <c r="A23" s="60">
        <v>17</v>
      </c>
      <c r="B23" s="64" t="s">
        <v>358</v>
      </c>
      <c r="C23" s="88" t="s">
        <v>93</v>
      </c>
      <c r="D23" s="104">
        <f t="shared" si="0"/>
        <v>179551</v>
      </c>
      <c r="E23" s="104">
        <f t="shared" si="1"/>
        <v>160000</v>
      </c>
      <c r="F23" s="62">
        <v>179551</v>
      </c>
      <c r="G23" s="62">
        <v>160000</v>
      </c>
      <c r="H23" s="62"/>
      <c r="I23" s="62"/>
      <c r="J23" s="63"/>
      <c r="K23" s="63"/>
      <c r="L23" s="63"/>
      <c r="M23" s="111"/>
    </row>
    <row r="24" spans="1:20" ht="29.25" x14ac:dyDescent="0.25">
      <c r="A24" s="65">
        <v>18</v>
      </c>
      <c r="B24" s="66" t="s">
        <v>296</v>
      </c>
      <c r="C24" s="181" t="s">
        <v>97</v>
      </c>
      <c r="D24" s="104">
        <f t="shared" si="0"/>
        <v>179551</v>
      </c>
      <c r="E24" s="104">
        <f t="shared" si="1"/>
        <v>160000</v>
      </c>
      <c r="F24" s="67">
        <f t="shared" ref="F24" si="3">SUM(F23:F23)</f>
        <v>179551</v>
      </c>
      <c r="G24" s="67">
        <f t="shared" ref="G24:M24" si="4">SUM(G23:G23)</f>
        <v>160000</v>
      </c>
      <c r="H24" s="67"/>
      <c r="I24" s="67"/>
      <c r="J24" s="67">
        <f t="shared" si="4"/>
        <v>0</v>
      </c>
      <c r="K24" s="67">
        <f t="shared" si="4"/>
        <v>0</v>
      </c>
      <c r="L24" s="67">
        <f t="shared" si="4"/>
        <v>0</v>
      </c>
      <c r="M24" s="67">
        <f t="shared" si="4"/>
        <v>0</v>
      </c>
    </row>
    <row r="25" spans="1:20" s="41" customFormat="1" x14ac:dyDescent="0.25">
      <c r="A25" s="68">
        <v>19</v>
      </c>
      <c r="B25" s="69" t="s">
        <v>297</v>
      </c>
      <c r="C25" s="182" t="s">
        <v>99</v>
      </c>
      <c r="D25" s="104">
        <f t="shared" si="0"/>
        <v>13247088</v>
      </c>
      <c r="E25" s="104">
        <f t="shared" si="1"/>
        <v>14806230</v>
      </c>
      <c r="F25" s="70">
        <f>SUM(F24,F22)</f>
        <v>13151088</v>
      </c>
      <c r="G25" s="70">
        <f t="shared" ref="G25:M25" si="5">SUM(G24,G22)</f>
        <v>11614520</v>
      </c>
      <c r="H25" s="70"/>
      <c r="I25" s="70"/>
      <c r="J25" s="70">
        <f t="shared" si="5"/>
        <v>0</v>
      </c>
      <c r="K25" s="70">
        <f t="shared" si="5"/>
        <v>0</v>
      </c>
      <c r="L25" s="70">
        <f t="shared" si="5"/>
        <v>96000</v>
      </c>
      <c r="M25" s="70">
        <f t="shared" si="5"/>
        <v>3191710</v>
      </c>
      <c r="N25" s="374"/>
      <c r="O25" s="374"/>
      <c r="P25" s="374"/>
      <c r="Q25" s="374"/>
      <c r="R25" s="374"/>
      <c r="S25" s="374"/>
      <c r="T25" s="374"/>
    </row>
    <row r="26" spans="1:20" s="42" customFormat="1" ht="29.25" x14ac:dyDescent="0.25">
      <c r="A26" s="68">
        <v>20</v>
      </c>
      <c r="B26" s="69" t="s">
        <v>298</v>
      </c>
      <c r="C26" s="182" t="s">
        <v>101</v>
      </c>
      <c r="D26" s="104">
        <f t="shared" si="0"/>
        <v>2276461</v>
      </c>
      <c r="E26" s="104">
        <f t="shared" si="1"/>
        <v>2452983</v>
      </c>
      <c r="F26" s="70">
        <v>2276461</v>
      </c>
      <c r="G26" s="70">
        <v>1921492</v>
      </c>
      <c r="H26" s="70"/>
      <c r="I26" s="70"/>
      <c r="J26" s="70"/>
      <c r="K26" s="70">
        <f>K25*0.195</f>
        <v>0</v>
      </c>
      <c r="L26" s="70"/>
      <c r="M26" s="70">
        <v>531491</v>
      </c>
      <c r="N26" s="375"/>
      <c r="O26" s="375"/>
      <c r="P26" s="375"/>
      <c r="Q26" s="375"/>
      <c r="R26" s="375"/>
      <c r="S26" s="375"/>
      <c r="T26" s="375"/>
    </row>
    <row r="27" spans="1:20" s="42" customFormat="1" ht="37.5" customHeight="1" thickBot="1" x14ac:dyDescent="0.35">
      <c r="A27" s="1031" t="s">
        <v>443</v>
      </c>
      <c r="B27" s="1032"/>
      <c r="C27" s="1032"/>
      <c r="D27" s="104">
        <f t="shared" si="0"/>
        <v>15523549</v>
      </c>
      <c r="E27" s="104">
        <f t="shared" si="1"/>
        <v>17259213</v>
      </c>
      <c r="F27" s="291">
        <f t="shared" ref="F27" si="6">SUM(F26,F25)</f>
        <v>15427549</v>
      </c>
      <c r="G27" s="291">
        <f>SUM(G26,G25)</f>
        <v>13536012</v>
      </c>
      <c r="H27" s="291"/>
      <c r="I27" s="291"/>
      <c r="J27" s="291">
        <f t="shared" ref="J27:M27" si="7">SUM(J26,J25)</f>
        <v>0</v>
      </c>
      <c r="K27" s="291">
        <f t="shared" si="7"/>
        <v>0</v>
      </c>
      <c r="L27" s="291">
        <f t="shared" si="7"/>
        <v>96000</v>
      </c>
      <c r="M27" s="291">
        <f t="shared" si="7"/>
        <v>3723201</v>
      </c>
      <c r="N27" s="375"/>
      <c r="O27" s="375"/>
      <c r="P27" s="375"/>
      <c r="Q27" s="375"/>
      <c r="R27" s="375"/>
      <c r="S27" s="375"/>
      <c r="T27" s="375"/>
    </row>
    <row r="28" spans="1:20" s="44" customFormat="1" x14ac:dyDescent="0.25">
      <c r="A28" s="297">
        <v>21</v>
      </c>
      <c r="B28" s="298" t="s">
        <v>299</v>
      </c>
      <c r="C28" s="299" t="s">
        <v>107</v>
      </c>
      <c r="D28" s="300">
        <f t="shared" ref="D28:M28" si="8">SUM(D29:D32)</f>
        <v>32978</v>
      </c>
      <c r="E28" s="300">
        <f t="shared" ref="E28" si="9">SUM(E29:E32)</f>
        <v>0</v>
      </c>
      <c r="F28" s="301">
        <f t="shared" si="8"/>
        <v>32978</v>
      </c>
      <c r="G28" s="301">
        <f t="shared" si="8"/>
        <v>0</v>
      </c>
      <c r="H28" s="301"/>
      <c r="I28" s="301"/>
      <c r="J28" s="301">
        <f t="shared" si="8"/>
        <v>0</v>
      </c>
      <c r="K28" s="301">
        <f t="shared" si="8"/>
        <v>0</v>
      </c>
      <c r="L28" s="301">
        <f t="shared" si="8"/>
        <v>0</v>
      </c>
      <c r="M28" s="301">
        <f t="shared" si="8"/>
        <v>0</v>
      </c>
      <c r="N28" s="375"/>
      <c r="O28" s="375"/>
      <c r="P28" s="375"/>
      <c r="Q28" s="375"/>
      <c r="R28" s="375"/>
      <c r="S28" s="375"/>
      <c r="T28" s="375"/>
    </row>
    <row r="29" spans="1:20" x14ac:dyDescent="0.25">
      <c r="A29" s="60"/>
      <c r="B29" s="76" t="s">
        <v>359</v>
      </c>
      <c r="C29" s="88"/>
      <c r="D29" s="104">
        <f t="shared" si="0"/>
        <v>32978</v>
      </c>
      <c r="E29" s="104">
        <f t="shared" si="1"/>
        <v>0</v>
      </c>
      <c r="F29" s="62">
        <v>32978</v>
      </c>
      <c r="G29" s="62"/>
      <c r="H29" s="62"/>
      <c r="I29" s="62"/>
      <c r="J29" s="63"/>
      <c r="K29" s="63"/>
      <c r="L29" s="63"/>
      <c r="M29" s="111"/>
    </row>
    <row r="30" spans="1:20" x14ac:dyDescent="0.25">
      <c r="A30" s="60"/>
      <c r="B30" s="76" t="s">
        <v>360</v>
      </c>
      <c r="C30" s="88"/>
      <c r="D30" s="104">
        <f t="shared" si="0"/>
        <v>0</v>
      </c>
      <c r="E30" s="104">
        <f t="shared" si="1"/>
        <v>0</v>
      </c>
      <c r="F30" s="62"/>
      <c r="G30" s="62"/>
      <c r="H30" s="62"/>
      <c r="I30" s="62"/>
      <c r="J30" s="63"/>
      <c r="K30" s="63"/>
      <c r="L30" s="63"/>
      <c r="M30" s="111"/>
    </row>
    <row r="31" spans="1:20" x14ac:dyDescent="0.25">
      <c r="A31" s="60"/>
      <c r="B31" s="76" t="s">
        <v>361</v>
      </c>
      <c r="C31" s="88"/>
      <c r="D31" s="104">
        <f t="shared" si="0"/>
        <v>0</v>
      </c>
      <c r="E31" s="104">
        <f t="shared" si="1"/>
        <v>0</v>
      </c>
      <c r="F31" s="62"/>
      <c r="G31" s="62"/>
      <c r="H31" s="62"/>
      <c r="I31" s="62"/>
      <c r="J31" s="63"/>
      <c r="K31" s="63"/>
      <c r="L31" s="63"/>
      <c r="M31" s="111"/>
    </row>
    <row r="32" spans="1:20" x14ac:dyDescent="0.25">
      <c r="A32" s="60"/>
      <c r="B32" s="76" t="s">
        <v>362</v>
      </c>
      <c r="C32" s="88"/>
      <c r="D32" s="104">
        <f t="shared" si="0"/>
        <v>0</v>
      </c>
      <c r="E32" s="104">
        <f t="shared" si="1"/>
        <v>0</v>
      </c>
      <c r="F32" s="62"/>
      <c r="G32" s="62"/>
      <c r="H32" s="62"/>
      <c r="I32" s="62"/>
      <c r="J32" s="63"/>
      <c r="K32" s="63"/>
      <c r="L32" s="63"/>
      <c r="M32" s="111"/>
    </row>
    <row r="33" spans="1:14" s="44" customFormat="1" x14ac:dyDescent="0.25">
      <c r="A33" s="73">
        <v>22</v>
      </c>
      <c r="B33" s="74" t="s">
        <v>302</v>
      </c>
      <c r="C33" s="183" t="s">
        <v>110</v>
      </c>
      <c r="D33" s="104">
        <f t="shared" ref="D33" si="10">SUM(F33,J33,L33)</f>
        <v>629992</v>
      </c>
      <c r="E33" s="104">
        <f t="shared" si="1"/>
        <v>600000</v>
      </c>
      <c r="F33" s="75">
        <f t="shared" ref="F33:M33" si="11">SUM(F34:F39)</f>
        <v>629992</v>
      </c>
      <c r="G33" s="75">
        <f t="shared" si="11"/>
        <v>600000</v>
      </c>
      <c r="H33" s="75"/>
      <c r="I33" s="75"/>
      <c r="J33" s="75">
        <f t="shared" si="11"/>
        <v>0</v>
      </c>
      <c r="K33" s="75">
        <f t="shared" si="11"/>
        <v>0</v>
      </c>
      <c r="L33" s="75">
        <f t="shared" si="11"/>
        <v>0</v>
      </c>
      <c r="M33" s="75">
        <f t="shared" si="11"/>
        <v>0</v>
      </c>
    </row>
    <row r="34" spans="1:14" x14ac:dyDescent="0.25">
      <c r="A34" s="60"/>
      <c r="B34" s="76" t="s">
        <v>303</v>
      </c>
      <c r="C34" s="88"/>
      <c r="D34" s="104">
        <f t="shared" si="0"/>
        <v>0</v>
      </c>
      <c r="E34" s="104">
        <f t="shared" si="1"/>
        <v>0</v>
      </c>
      <c r="F34" s="62"/>
      <c r="G34" s="62"/>
      <c r="H34" s="62"/>
      <c r="I34" s="62"/>
      <c r="J34" s="63"/>
      <c r="K34" s="63"/>
      <c r="L34" s="63"/>
      <c r="M34" s="111"/>
    </row>
    <row r="35" spans="1:14" x14ac:dyDescent="0.25">
      <c r="A35" s="60"/>
      <c r="B35" s="76" t="s">
        <v>304</v>
      </c>
      <c r="C35" s="88"/>
      <c r="D35" s="104">
        <f t="shared" si="0"/>
        <v>0</v>
      </c>
      <c r="E35" s="104">
        <f t="shared" si="1"/>
        <v>0</v>
      </c>
      <c r="F35" s="62"/>
      <c r="G35" s="62"/>
      <c r="H35" s="62"/>
      <c r="I35" s="62"/>
      <c r="J35" s="63"/>
      <c r="K35" s="63"/>
      <c r="L35" s="63"/>
      <c r="M35" s="111"/>
    </row>
    <row r="36" spans="1:14" x14ac:dyDescent="0.25">
      <c r="A36" s="60"/>
      <c r="B36" s="76" t="s">
        <v>305</v>
      </c>
      <c r="C36" s="88"/>
      <c r="D36" s="104">
        <f t="shared" si="0"/>
        <v>629992</v>
      </c>
      <c r="E36" s="104">
        <f t="shared" si="1"/>
        <v>600000</v>
      </c>
      <c r="F36" s="62">
        <v>629992</v>
      </c>
      <c r="G36" s="62">
        <v>600000</v>
      </c>
      <c r="H36" s="62"/>
      <c r="I36" s="62"/>
      <c r="J36" s="63"/>
      <c r="K36" s="63"/>
      <c r="L36" s="63"/>
      <c r="M36" s="702"/>
    </row>
    <row r="37" spans="1:14" x14ac:dyDescent="0.25">
      <c r="A37" s="60"/>
      <c r="B37" s="76" t="s">
        <v>306</v>
      </c>
      <c r="C37" s="88"/>
      <c r="D37" s="104">
        <f t="shared" si="0"/>
        <v>0</v>
      </c>
      <c r="E37" s="104">
        <f t="shared" si="1"/>
        <v>0</v>
      </c>
      <c r="F37" s="62"/>
      <c r="G37" s="62"/>
      <c r="H37" s="62"/>
      <c r="I37" s="62"/>
      <c r="J37" s="63"/>
      <c r="K37" s="63"/>
      <c r="L37" s="63"/>
      <c r="M37" s="111"/>
    </row>
    <row r="38" spans="1:14" x14ac:dyDescent="0.25">
      <c r="A38" s="60"/>
      <c r="B38" s="76" t="s">
        <v>307</v>
      </c>
      <c r="C38" s="88"/>
      <c r="D38" s="104">
        <f t="shared" si="0"/>
        <v>0</v>
      </c>
      <c r="E38" s="104">
        <f t="shared" si="1"/>
        <v>0</v>
      </c>
      <c r="F38" s="62"/>
      <c r="G38" s="62"/>
      <c r="H38" s="62"/>
      <c r="I38" s="62"/>
      <c r="J38" s="63"/>
      <c r="K38" s="63"/>
      <c r="L38" s="63"/>
      <c r="M38" s="111"/>
    </row>
    <row r="39" spans="1:14" x14ac:dyDescent="0.25">
      <c r="A39" s="60"/>
      <c r="B39" s="76" t="s">
        <v>249</v>
      </c>
      <c r="C39" s="88"/>
      <c r="D39" s="104">
        <f t="shared" si="0"/>
        <v>0</v>
      </c>
      <c r="E39" s="104">
        <f t="shared" si="1"/>
        <v>0</v>
      </c>
      <c r="F39" s="62"/>
      <c r="G39" s="62"/>
      <c r="H39" s="62"/>
      <c r="I39" s="62"/>
      <c r="J39" s="63"/>
      <c r="K39" s="63"/>
      <c r="L39" s="63"/>
      <c r="M39" s="111"/>
    </row>
    <row r="40" spans="1:14" s="44" customFormat="1" ht="15.75" x14ac:dyDescent="0.25">
      <c r="A40" s="77">
        <v>23</v>
      </c>
      <c r="B40" s="78" t="s">
        <v>308</v>
      </c>
      <c r="C40" s="184" t="s">
        <v>116</v>
      </c>
      <c r="D40" s="104">
        <f t="shared" si="0"/>
        <v>662970</v>
      </c>
      <c r="E40" s="104">
        <f t="shared" si="1"/>
        <v>600000</v>
      </c>
      <c r="F40" s="79">
        <f t="shared" ref="F40:M40" si="12">SUM(F28,F33)</f>
        <v>662970</v>
      </c>
      <c r="G40" s="79">
        <f t="shared" si="12"/>
        <v>600000</v>
      </c>
      <c r="H40" s="79"/>
      <c r="I40" s="79"/>
      <c r="J40" s="79">
        <f t="shared" si="12"/>
        <v>0</v>
      </c>
      <c r="K40" s="79">
        <f t="shared" si="12"/>
        <v>0</v>
      </c>
      <c r="L40" s="79">
        <f t="shared" si="12"/>
        <v>0</v>
      </c>
      <c r="M40" s="79">
        <f t="shared" si="12"/>
        <v>0</v>
      </c>
    </row>
    <row r="41" spans="1:14" ht="29.25" x14ac:dyDescent="0.25">
      <c r="A41" s="80">
        <v>24</v>
      </c>
      <c r="B41" s="81" t="s">
        <v>309</v>
      </c>
      <c r="C41" s="185" t="s">
        <v>120</v>
      </c>
      <c r="D41" s="104">
        <f t="shared" si="0"/>
        <v>83990</v>
      </c>
      <c r="E41" s="104">
        <f t="shared" si="1"/>
        <v>121000</v>
      </c>
      <c r="F41" s="82">
        <f>SUM(F42:F43)</f>
        <v>83990</v>
      </c>
      <c r="G41" s="82">
        <f t="shared" ref="G41:M41" si="13">SUM(G42:G43)</f>
        <v>17000</v>
      </c>
      <c r="H41" s="82"/>
      <c r="I41" s="82"/>
      <c r="J41" s="82">
        <f t="shared" si="13"/>
        <v>0</v>
      </c>
      <c r="K41" s="82">
        <f t="shared" si="13"/>
        <v>0</v>
      </c>
      <c r="L41" s="82">
        <f t="shared" si="13"/>
        <v>0</v>
      </c>
      <c r="M41" s="82">
        <f t="shared" si="13"/>
        <v>104000</v>
      </c>
    </row>
    <row r="42" spans="1:14" s="194" customFormat="1" ht="30" x14ac:dyDescent="0.25">
      <c r="A42" s="254"/>
      <c r="B42" s="257" t="s">
        <v>561</v>
      </c>
      <c r="C42" s="255"/>
      <c r="D42" s="104">
        <f t="shared" ref="D42:D56" si="14">SUM(F42,H42,J42,L42)</f>
        <v>74000</v>
      </c>
      <c r="E42" s="104">
        <f t="shared" si="1"/>
        <v>104000</v>
      </c>
      <c r="F42" s="256">
        <v>74000</v>
      </c>
      <c r="G42" s="256"/>
      <c r="H42" s="256"/>
      <c r="I42" s="256"/>
      <c r="J42" s="256"/>
      <c r="K42" s="256"/>
      <c r="L42" s="258"/>
      <c r="M42" s="289">
        <v>104000</v>
      </c>
    </row>
    <row r="43" spans="1:14" x14ac:dyDescent="0.25">
      <c r="A43" s="60"/>
      <c r="B43" s="83" t="s">
        <v>310</v>
      </c>
      <c r="C43" s="88"/>
      <c r="D43" s="104">
        <f t="shared" si="14"/>
        <v>9990</v>
      </c>
      <c r="E43" s="104">
        <f t="shared" si="1"/>
        <v>17000</v>
      </c>
      <c r="F43" s="62">
        <v>9990</v>
      </c>
      <c r="G43" s="62">
        <v>17000</v>
      </c>
      <c r="H43" s="62"/>
      <c r="I43" s="62"/>
      <c r="J43" s="63"/>
      <c r="K43" s="63"/>
      <c r="L43" s="63"/>
      <c r="M43" s="111"/>
    </row>
    <row r="44" spans="1:14" ht="29.25" x14ac:dyDescent="0.25">
      <c r="A44" s="80">
        <v>25</v>
      </c>
      <c r="B44" s="81" t="s">
        <v>311</v>
      </c>
      <c r="C44" s="185" t="s">
        <v>123</v>
      </c>
      <c r="D44" s="104">
        <f t="shared" si="14"/>
        <v>156857</v>
      </c>
      <c r="E44" s="104">
        <f t="shared" si="1"/>
        <v>190000</v>
      </c>
      <c r="F44" s="82">
        <f t="shared" ref="F44:M44" si="15">SUM(F45:F46)</f>
        <v>156857</v>
      </c>
      <c r="G44" s="82">
        <f t="shared" si="15"/>
        <v>190000</v>
      </c>
      <c r="H44" s="82"/>
      <c r="I44" s="82"/>
      <c r="J44" s="82">
        <f t="shared" si="15"/>
        <v>0</v>
      </c>
      <c r="K44" s="82">
        <f t="shared" si="15"/>
        <v>0</v>
      </c>
      <c r="L44" s="82">
        <f t="shared" si="15"/>
        <v>0</v>
      </c>
      <c r="M44" s="82">
        <f t="shared" si="15"/>
        <v>0</v>
      </c>
    </row>
    <row r="45" spans="1:14" x14ac:dyDescent="0.25">
      <c r="A45" s="60"/>
      <c r="B45" s="76" t="s">
        <v>363</v>
      </c>
      <c r="C45" s="88"/>
      <c r="D45" s="104">
        <f t="shared" si="14"/>
        <v>0</v>
      </c>
      <c r="E45" s="104">
        <f t="shared" si="1"/>
        <v>0</v>
      </c>
      <c r="F45" s="62"/>
      <c r="G45" s="62"/>
      <c r="H45" s="62"/>
      <c r="I45" s="62"/>
      <c r="J45" s="63"/>
      <c r="K45" s="63"/>
      <c r="L45" s="63"/>
      <c r="M45" s="111"/>
    </row>
    <row r="46" spans="1:14" x14ac:dyDescent="0.25">
      <c r="A46" s="60"/>
      <c r="B46" s="76" t="s">
        <v>364</v>
      </c>
      <c r="C46" s="88"/>
      <c r="D46" s="104">
        <f t="shared" si="14"/>
        <v>156857</v>
      </c>
      <c r="E46" s="104">
        <f t="shared" si="1"/>
        <v>190000</v>
      </c>
      <c r="F46" s="62">
        <v>156857</v>
      </c>
      <c r="G46" s="62">
        <v>190000</v>
      </c>
      <c r="H46" s="62"/>
      <c r="I46" s="62"/>
      <c r="J46" s="63"/>
      <c r="K46" s="63"/>
      <c r="L46" s="63"/>
      <c r="M46" s="111"/>
    </row>
    <row r="47" spans="1:14" ht="15.75" x14ac:dyDescent="0.25">
      <c r="A47" s="77">
        <v>26</v>
      </c>
      <c r="B47" s="78" t="s">
        <v>126</v>
      </c>
      <c r="C47" s="184" t="s">
        <v>127</v>
      </c>
      <c r="D47" s="104">
        <f t="shared" si="14"/>
        <v>240847</v>
      </c>
      <c r="E47" s="104">
        <f t="shared" si="1"/>
        <v>311000</v>
      </c>
      <c r="F47" s="79">
        <f>SUM(F44,F41)</f>
        <v>240847</v>
      </c>
      <c r="G47" s="79">
        <f t="shared" ref="G47:M47" si="16">SUM(G44,G41)</f>
        <v>207000</v>
      </c>
      <c r="H47" s="79"/>
      <c r="I47" s="79"/>
      <c r="J47" s="79">
        <f t="shared" si="16"/>
        <v>0</v>
      </c>
      <c r="K47" s="79">
        <f t="shared" si="16"/>
        <v>0</v>
      </c>
      <c r="L47" s="79">
        <f t="shared" si="16"/>
        <v>0</v>
      </c>
      <c r="M47" s="79">
        <f t="shared" si="16"/>
        <v>104000</v>
      </c>
      <c r="N47" s="380"/>
    </row>
    <row r="48" spans="1:14" x14ac:dyDescent="0.25">
      <c r="A48" s="80">
        <v>27</v>
      </c>
      <c r="B48" s="81" t="s">
        <v>315</v>
      </c>
      <c r="C48" s="185" t="s">
        <v>130</v>
      </c>
      <c r="D48" s="104">
        <f t="shared" si="14"/>
        <v>2823996</v>
      </c>
      <c r="E48" s="104">
        <f t="shared" si="1"/>
        <v>2850000</v>
      </c>
      <c r="F48" s="82">
        <f t="shared" ref="F48:M48" si="17">SUM(F49:F51)</f>
        <v>2823996</v>
      </c>
      <c r="G48" s="82">
        <f t="shared" si="17"/>
        <v>2850000</v>
      </c>
      <c r="H48" s="82"/>
      <c r="I48" s="82"/>
      <c r="J48" s="82">
        <f t="shared" si="17"/>
        <v>0</v>
      </c>
      <c r="K48" s="82">
        <f t="shared" si="17"/>
        <v>0</v>
      </c>
      <c r="L48" s="82">
        <f t="shared" si="17"/>
        <v>0</v>
      </c>
      <c r="M48" s="82">
        <f t="shared" si="17"/>
        <v>0</v>
      </c>
    </row>
    <row r="49" spans="1:13" x14ac:dyDescent="0.25">
      <c r="A49" s="60"/>
      <c r="B49" s="83" t="s">
        <v>316</v>
      </c>
      <c r="C49" s="88"/>
      <c r="D49" s="104">
        <f t="shared" si="14"/>
        <v>0</v>
      </c>
      <c r="E49" s="104">
        <f t="shared" si="1"/>
        <v>600000</v>
      </c>
      <c r="F49" s="62"/>
      <c r="G49" s="62">
        <v>600000</v>
      </c>
      <c r="H49" s="62"/>
      <c r="I49" s="62"/>
      <c r="J49" s="63"/>
      <c r="K49" s="63"/>
      <c r="L49" s="63"/>
      <c r="M49" s="111"/>
    </row>
    <row r="50" spans="1:13" x14ac:dyDescent="0.25">
      <c r="A50" s="60"/>
      <c r="B50" s="83" t="s">
        <v>317</v>
      </c>
      <c r="C50" s="88"/>
      <c r="D50" s="104">
        <f t="shared" si="14"/>
        <v>2823996</v>
      </c>
      <c r="E50" s="104">
        <f t="shared" si="1"/>
        <v>2100000</v>
      </c>
      <c r="F50" s="62">
        <v>2823996</v>
      </c>
      <c r="G50" s="62">
        <v>2100000</v>
      </c>
      <c r="H50" s="62"/>
      <c r="I50" s="62"/>
      <c r="J50" s="63"/>
      <c r="K50" s="63"/>
      <c r="L50" s="63"/>
      <c r="M50" s="111"/>
    </row>
    <row r="51" spans="1:13" x14ac:dyDescent="0.25">
      <c r="A51" s="60"/>
      <c r="B51" s="83" t="s">
        <v>318</v>
      </c>
      <c r="C51" s="88"/>
      <c r="D51" s="104">
        <f t="shared" si="14"/>
        <v>0</v>
      </c>
      <c r="E51" s="104">
        <f t="shared" si="1"/>
        <v>150000</v>
      </c>
      <c r="F51" s="62"/>
      <c r="G51" s="62">
        <v>150000</v>
      </c>
      <c r="H51" s="62"/>
      <c r="I51" s="62"/>
      <c r="J51" s="63"/>
      <c r="K51" s="63"/>
      <c r="L51" s="63"/>
      <c r="M51" s="111"/>
    </row>
    <row r="52" spans="1:13" x14ac:dyDescent="0.25">
      <c r="A52" s="80">
        <v>28</v>
      </c>
      <c r="B52" s="81" t="s">
        <v>319</v>
      </c>
      <c r="C52" s="185" t="s">
        <v>132</v>
      </c>
      <c r="D52" s="104">
        <f t="shared" si="14"/>
        <v>0</v>
      </c>
      <c r="E52" s="104">
        <f t="shared" si="1"/>
        <v>250000</v>
      </c>
      <c r="F52" s="82">
        <f t="shared" ref="F52:M52" si="18">F53</f>
        <v>0</v>
      </c>
      <c r="G52" s="82">
        <v>250000</v>
      </c>
      <c r="H52" s="82"/>
      <c r="I52" s="82"/>
      <c r="J52" s="82">
        <f t="shared" si="18"/>
        <v>0</v>
      </c>
      <c r="K52" s="82">
        <f t="shared" si="18"/>
        <v>0</v>
      </c>
      <c r="L52" s="82">
        <f t="shared" si="18"/>
        <v>0</v>
      </c>
      <c r="M52" s="82">
        <f t="shared" si="18"/>
        <v>0</v>
      </c>
    </row>
    <row r="53" spans="1:13" x14ac:dyDescent="0.25">
      <c r="A53" s="60"/>
      <c r="B53" s="61"/>
      <c r="C53" s="88"/>
      <c r="D53" s="104">
        <f t="shared" si="14"/>
        <v>0</v>
      </c>
      <c r="E53" s="104">
        <f t="shared" si="1"/>
        <v>0</v>
      </c>
      <c r="F53" s="62"/>
      <c r="G53" s="62"/>
      <c r="H53" s="62"/>
      <c r="I53" s="62"/>
      <c r="J53" s="63"/>
      <c r="K53" s="63"/>
      <c r="L53" s="63"/>
      <c r="M53" s="111"/>
    </row>
    <row r="54" spans="1:13" x14ac:dyDescent="0.25">
      <c r="A54" s="60">
        <v>29</v>
      </c>
      <c r="B54" s="61" t="s">
        <v>321</v>
      </c>
      <c r="C54" s="88" t="s">
        <v>136</v>
      </c>
      <c r="D54" s="104">
        <f t="shared" si="14"/>
        <v>0</v>
      </c>
      <c r="E54" s="104">
        <f t="shared" si="1"/>
        <v>0</v>
      </c>
      <c r="F54" s="62"/>
      <c r="G54" s="62"/>
      <c r="H54" s="62"/>
      <c r="I54" s="62"/>
      <c r="J54" s="63"/>
      <c r="K54" s="63"/>
      <c r="L54" s="63"/>
      <c r="M54" s="111"/>
    </row>
    <row r="55" spans="1:13" x14ac:dyDescent="0.25">
      <c r="A55" s="60">
        <v>30</v>
      </c>
      <c r="B55" s="61" t="s">
        <v>365</v>
      </c>
      <c r="C55" s="88" t="s">
        <v>140</v>
      </c>
      <c r="D55" s="104">
        <f t="shared" si="14"/>
        <v>1723922</v>
      </c>
      <c r="E55" s="104">
        <f t="shared" si="1"/>
        <v>390000</v>
      </c>
      <c r="F55" s="62">
        <v>1723922</v>
      </c>
      <c r="G55" s="62">
        <v>390000</v>
      </c>
      <c r="H55" s="62"/>
      <c r="I55" s="62"/>
      <c r="J55" s="63"/>
      <c r="K55" s="63"/>
      <c r="L55" s="63"/>
      <c r="M55" s="111"/>
    </row>
    <row r="56" spans="1:13" x14ac:dyDescent="0.25">
      <c r="A56" s="60">
        <v>31</v>
      </c>
      <c r="B56" s="61" t="s">
        <v>322</v>
      </c>
      <c r="C56" s="88" t="s">
        <v>323</v>
      </c>
      <c r="D56" s="104">
        <f t="shared" si="14"/>
        <v>0</v>
      </c>
      <c r="E56" s="104">
        <f t="shared" si="1"/>
        <v>0</v>
      </c>
      <c r="F56" s="62"/>
      <c r="G56" s="62"/>
      <c r="H56" s="62"/>
      <c r="I56" s="62"/>
      <c r="J56" s="63"/>
      <c r="K56" s="63"/>
      <c r="L56" s="63"/>
      <c r="M56" s="111"/>
    </row>
    <row r="57" spans="1:13" s="44" customFormat="1" ht="29.25" x14ac:dyDescent="0.25">
      <c r="A57" s="80">
        <v>32</v>
      </c>
      <c r="B57" s="81" t="s">
        <v>324</v>
      </c>
      <c r="C57" s="185" t="s">
        <v>143</v>
      </c>
      <c r="D57" s="104">
        <f>SUM(F57,H57,J57,L57)</f>
        <v>0</v>
      </c>
      <c r="E57" s="104">
        <f>SUM(G57,I57,K57,M57)</f>
        <v>1380000</v>
      </c>
      <c r="F57" s="82">
        <f t="shared" ref="F57:M57" si="19">SUM(F58:F60)</f>
        <v>0</v>
      </c>
      <c r="G57" s="82">
        <f>SUM(G58:G61)</f>
        <v>380000</v>
      </c>
      <c r="H57" s="82">
        <f>SUM(H58:H61)</f>
        <v>0</v>
      </c>
      <c r="I57" s="82">
        <f>SUM(I58:I61)</f>
        <v>1000000</v>
      </c>
      <c r="J57" s="82">
        <f t="shared" si="19"/>
        <v>0</v>
      </c>
      <c r="K57" s="82">
        <f t="shared" si="19"/>
        <v>0</v>
      </c>
      <c r="L57" s="82">
        <f t="shared" si="19"/>
        <v>0</v>
      </c>
      <c r="M57" s="82">
        <f t="shared" si="19"/>
        <v>0</v>
      </c>
    </row>
    <row r="58" spans="1:13" ht="30" x14ac:dyDescent="0.25">
      <c r="A58" s="60"/>
      <c r="B58" s="76" t="s">
        <v>366</v>
      </c>
      <c r="C58" s="88"/>
      <c r="D58" s="104">
        <f>SUM(F58,H58,J58,L58)</f>
        <v>0</v>
      </c>
      <c r="E58" s="104">
        <f t="shared" si="1"/>
        <v>300000</v>
      </c>
      <c r="F58" s="62"/>
      <c r="G58" s="62">
        <v>300000</v>
      </c>
      <c r="H58" s="62"/>
      <c r="I58" s="62"/>
      <c r="J58" s="63"/>
      <c r="K58" s="63"/>
      <c r="L58" s="63"/>
      <c r="M58" s="111"/>
    </row>
    <row r="59" spans="1:13" x14ac:dyDescent="0.25">
      <c r="A59" s="60"/>
      <c r="B59" s="76" t="s">
        <v>367</v>
      </c>
      <c r="C59" s="88"/>
      <c r="D59" s="104">
        <f>SUM(F59,H59,J59,L59)</f>
        <v>0</v>
      </c>
      <c r="E59" s="104">
        <f t="shared" si="1"/>
        <v>80000</v>
      </c>
      <c r="F59" s="62"/>
      <c r="G59" s="62">
        <v>80000</v>
      </c>
      <c r="H59" s="62"/>
      <c r="I59" s="62"/>
      <c r="J59" s="63"/>
      <c r="K59" s="63"/>
      <c r="L59" s="63"/>
      <c r="M59" s="703"/>
    </row>
    <row r="60" spans="1:13" x14ac:dyDescent="0.25">
      <c r="A60" s="60"/>
      <c r="B60" s="76" t="s">
        <v>368</v>
      </c>
      <c r="C60" s="88"/>
      <c r="D60" s="104">
        <f>SUM(F60,H60,J60,L60)</f>
        <v>0</v>
      </c>
      <c r="E60" s="104">
        <f t="shared" si="1"/>
        <v>0</v>
      </c>
      <c r="F60" s="62"/>
      <c r="G60" s="62"/>
      <c r="H60" s="62"/>
      <c r="I60" s="62"/>
      <c r="J60" s="63"/>
      <c r="K60" s="63"/>
      <c r="L60" s="63"/>
      <c r="M60" s="111"/>
    </row>
    <row r="61" spans="1:13" ht="21" customHeight="1" x14ac:dyDescent="0.25">
      <c r="A61" s="60"/>
      <c r="B61" s="76" t="s">
        <v>658</v>
      </c>
      <c r="C61" s="88"/>
      <c r="D61" s="104">
        <f>SUM(F61,H61,J61,L61)</f>
        <v>0</v>
      </c>
      <c r="E61" s="104">
        <f t="shared" si="1"/>
        <v>1000000</v>
      </c>
      <c r="F61" s="62"/>
      <c r="G61" s="62"/>
      <c r="H61" s="62"/>
      <c r="I61" s="62">
        <v>1000000</v>
      </c>
      <c r="J61" s="63"/>
      <c r="K61" s="63"/>
      <c r="L61" s="63"/>
      <c r="M61" s="111"/>
    </row>
    <row r="62" spans="1:13" s="44" customFormat="1" x14ac:dyDescent="0.25">
      <c r="A62" s="80">
        <v>33</v>
      </c>
      <c r="B62" s="81" t="s">
        <v>325</v>
      </c>
      <c r="C62" s="185" t="s">
        <v>145</v>
      </c>
      <c r="D62" s="104">
        <f t="shared" ref="D62:D68" si="20">SUM(F62,H62,J62,L62)</f>
        <v>225710</v>
      </c>
      <c r="E62" s="104">
        <f t="shared" si="1"/>
        <v>779000</v>
      </c>
      <c r="F62" s="82">
        <f t="shared" ref="F62:M62" si="21">SUM(F63:F68)</f>
        <v>225710</v>
      </c>
      <c r="G62" s="82">
        <f t="shared" si="21"/>
        <v>779000</v>
      </c>
      <c r="H62" s="82"/>
      <c r="I62" s="82"/>
      <c r="J62" s="82">
        <f t="shared" si="21"/>
        <v>0</v>
      </c>
      <c r="K62" s="82">
        <f t="shared" si="21"/>
        <v>0</v>
      </c>
      <c r="L62" s="82">
        <f t="shared" si="21"/>
        <v>0</v>
      </c>
      <c r="M62" s="82">
        <f t="shared" si="21"/>
        <v>0</v>
      </c>
    </row>
    <row r="63" spans="1:13" ht="30" x14ac:dyDescent="0.25">
      <c r="A63" s="60"/>
      <c r="B63" s="76" t="s">
        <v>369</v>
      </c>
      <c r="C63" s="88"/>
      <c r="D63" s="104">
        <f t="shared" si="20"/>
        <v>0</v>
      </c>
      <c r="E63" s="104">
        <f t="shared" si="1"/>
        <v>90000</v>
      </c>
      <c r="F63" s="62"/>
      <c r="G63" s="62">
        <v>90000</v>
      </c>
      <c r="H63" s="62"/>
      <c r="I63" s="62"/>
      <c r="J63" s="63"/>
      <c r="K63" s="63"/>
      <c r="L63" s="63"/>
      <c r="M63" s="111"/>
    </row>
    <row r="64" spans="1:13" x14ac:dyDescent="0.25">
      <c r="A64" s="60"/>
      <c r="B64" s="76" t="s">
        <v>327</v>
      </c>
      <c r="C64" s="88"/>
      <c r="D64" s="104">
        <f t="shared" si="20"/>
        <v>0</v>
      </c>
      <c r="E64" s="104">
        <f t="shared" si="1"/>
        <v>10000</v>
      </c>
      <c r="F64" s="62"/>
      <c r="G64" s="62">
        <v>10000</v>
      </c>
      <c r="H64" s="62"/>
      <c r="I64" s="62"/>
      <c r="J64" s="63"/>
      <c r="K64" s="63"/>
      <c r="L64" s="63"/>
      <c r="M64" s="111"/>
    </row>
    <row r="65" spans="1:13" x14ac:dyDescent="0.25">
      <c r="A65" s="60"/>
      <c r="B65" s="76" t="s">
        <v>758</v>
      </c>
      <c r="C65" s="88"/>
      <c r="D65" s="104">
        <f t="shared" si="20"/>
        <v>0</v>
      </c>
      <c r="E65" s="104">
        <f t="shared" si="1"/>
        <v>360000</v>
      </c>
      <c r="F65" s="62"/>
      <c r="G65" s="62">
        <v>360000</v>
      </c>
      <c r="H65" s="62"/>
      <c r="I65" s="62"/>
      <c r="J65" s="63"/>
      <c r="K65" s="63"/>
      <c r="L65" s="63"/>
      <c r="M65" s="111"/>
    </row>
    <row r="66" spans="1:13" x14ac:dyDescent="0.25">
      <c r="A66" s="60"/>
      <c r="B66" s="76" t="s">
        <v>370</v>
      </c>
      <c r="C66" s="88"/>
      <c r="D66" s="104">
        <f t="shared" si="20"/>
        <v>0</v>
      </c>
      <c r="E66" s="104">
        <f t="shared" si="1"/>
        <v>24000</v>
      </c>
      <c r="F66" s="62"/>
      <c r="G66" s="62">
        <v>24000</v>
      </c>
      <c r="H66" s="62"/>
      <c r="I66" s="62"/>
      <c r="J66" s="63"/>
      <c r="K66" s="63"/>
      <c r="L66" s="63"/>
      <c r="M66" s="111"/>
    </row>
    <row r="67" spans="1:13" ht="45" x14ac:dyDescent="0.25">
      <c r="A67" s="60"/>
      <c r="B67" s="76" t="s">
        <v>371</v>
      </c>
      <c r="C67" s="88"/>
      <c r="D67" s="104">
        <f t="shared" si="20"/>
        <v>225710</v>
      </c>
      <c r="E67" s="104">
        <f t="shared" si="1"/>
        <v>295000</v>
      </c>
      <c r="F67" s="62">
        <v>225710</v>
      </c>
      <c r="G67" s="62">
        <v>295000</v>
      </c>
      <c r="H67" s="62"/>
      <c r="I67" s="62"/>
      <c r="J67" s="63"/>
      <c r="K67" s="63"/>
      <c r="L67" s="63"/>
      <c r="M67" s="111"/>
    </row>
    <row r="68" spans="1:13" x14ac:dyDescent="0.25">
      <c r="A68" s="60"/>
      <c r="B68" s="76" t="s">
        <v>372</v>
      </c>
      <c r="C68" s="88"/>
      <c r="D68" s="104">
        <f t="shared" si="20"/>
        <v>0</v>
      </c>
      <c r="E68" s="104">
        <f t="shared" si="1"/>
        <v>0</v>
      </c>
      <c r="F68" s="62"/>
      <c r="G68" s="62"/>
      <c r="H68" s="62"/>
      <c r="I68" s="62"/>
      <c r="J68" s="63"/>
      <c r="K68" s="63"/>
      <c r="L68" s="63"/>
      <c r="M68" s="111"/>
    </row>
    <row r="69" spans="1:13" ht="15.75" x14ac:dyDescent="0.25">
      <c r="A69" s="84">
        <v>34</v>
      </c>
      <c r="B69" s="85" t="s">
        <v>148</v>
      </c>
      <c r="C69" s="186" t="s">
        <v>149</v>
      </c>
      <c r="D69" s="104">
        <f>SUM(F69,H69,J69,L69)</f>
        <v>4773628</v>
      </c>
      <c r="E69" s="104">
        <f t="shared" si="1"/>
        <v>5649000</v>
      </c>
      <c r="F69" s="86">
        <f>SUM(F48,F52,F57,F62,F54,F55,F56)</f>
        <v>4773628</v>
      </c>
      <c r="G69" s="86">
        <f t="shared" ref="G69:M69" si="22">SUM(G48,G52,G57,G62,G54,G55,G56)</f>
        <v>4649000</v>
      </c>
      <c r="H69" s="86">
        <f>SUM(H48,H52,H57,H62,H54,H55,H56)</f>
        <v>0</v>
      </c>
      <c r="I69" s="86">
        <f>SUM(I48,I52,I57,I62,I54,I55,I56)</f>
        <v>1000000</v>
      </c>
      <c r="J69" s="86">
        <f t="shared" si="22"/>
        <v>0</v>
      </c>
      <c r="K69" s="86">
        <f t="shared" si="22"/>
        <v>0</v>
      </c>
      <c r="L69" s="86">
        <f t="shared" si="22"/>
        <v>0</v>
      </c>
      <c r="M69" s="86">
        <f t="shared" si="22"/>
        <v>0</v>
      </c>
    </row>
    <row r="70" spans="1:13" x14ac:dyDescent="0.25">
      <c r="A70" s="60">
        <v>35</v>
      </c>
      <c r="B70" s="61" t="s">
        <v>328</v>
      </c>
      <c r="C70" s="88" t="s">
        <v>153</v>
      </c>
      <c r="D70" s="104">
        <f>SUM(F70,H70,J70,L70)</f>
        <v>129279</v>
      </c>
      <c r="E70" s="104">
        <f t="shared" si="1"/>
        <v>130000</v>
      </c>
      <c r="F70" s="62">
        <v>49279</v>
      </c>
      <c r="G70" s="62">
        <v>60000</v>
      </c>
      <c r="H70" s="62"/>
      <c r="I70" s="62"/>
      <c r="J70" s="63"/>
      <c r="K70" s="63"/>
      <c r="L70" s="63">
        <v>80000</v>
      </c>
      <c r="M70" s="703">
        <v>70000</v>
      </c>
    </row>
    <row r="71" spans="1:13" x14ac:dyDescent="0.25">
      <c r="A71" s="60">
        <v>36</v>
      </c>
      <c r="B71" s="61" t="s">
        <v>329</v>
      </c>
      <c r="C71" s="88" t="s">
        <v>157</v>
      </c>
      <c r="D71" s="104">
        <f t="shared" ref="D71:D72" si="23">SUM(F71,H71,J71,L71)</f>
        <v>0</v>
      </c>
      <c r="E71" s="104">
        <f t="shared" si="1"/>
        <v>0</v>
      </c>
      <c r="F71" s="62"/>
      <c r="G71" s="62"/>
      <c r="H71" s="62"/>
      <c r="I71" s="62"/>
      <c r="J71" s="63"/>
      <c r="K71" s="63"/>
      <c r="L71" s="63"/>
      <c r="M71" s="111"/>
    </row>
    <row r="72" spans="1:13" ht="29.25" x14ac:dyDescent="0.25">
      <c r="A72" s="80">
        <v>37</v>
      </c>
      <c r="B72" s="81" t="s">
        <v>158</v>
      </c>
      <c r="C72" s="185" t="s">
        <v>159</v>
      </c>
      <c r="D72" s="104">
        <f t="shared" si="23"/>
        <v>129279</v>
      </c>
      <c r="E72" s="104">
        <f t="shared" si="1"/>
        <v>130000</v>
      </c>
      <c r="F72" s="82">
        <f t="shared" ref="F72:M72" si="24">SUM(F70:F71)</f>
        <v>49279</v>
      </c>
      <c r="G72" s="82">
        <f t="shared" si="24"/>
        <v>60000</v>
      </c>
      <c r="H72" s="82">
        <f t="shared" si="24"/>
        <v>0</v>
      </c>
      <c r="I72" s="82">
        <f t="shared" si="24"/>
        <v>0</v>
      </c>
      <c r="J72" s="82">
        <f t="shared" si="24"/>
        <v>0</v>
      </c>
      <c r="K72" s="82">
        <f t="shared" si="24"/>
        <v>0</v>
      </c>
      <c r="L72" s="82">
        <f t="shared" si="24"/>
        <v>80000</v>
      </c>
      <c r="M72" s="82">
        <f t="shared" si="24"/>
        <v>70000</v>
      </c>
    </row>
    <row r="73" spans="1:13" ht="30" x14ac:dyDescent="0.25">
      <c r="A73" s="60">
        <v>38</v>
      </c>
      <c r="B73" s="61" t="s">
        <v>162</v>
      </c>
      <c r="C73" s="88" t="s">
        <v>163</v>
      </c>
      <c r="D73" s="104">
        <f>SUM(F73,H73,J73,L73)</f>
        <v>1267719</v>
      </c>
      <c r="E73" s="104">
        <f t="shared" si="1"/>
        <v>1167000</v>
      </c>
      <c r="F73" s="62">
        <v>1267719</v>
      </c>
      <c r="G73" s="62">
        <v>897000</v>
      </c>
      <c r="H73" s="62"/>
      <c r="I73" s="62">
        <f>SUM(I61*0.27)</f>
        <v>270000</v>
      </c>
      <c r="J73" s="62"/>
      <c r="K73" s="62"/>
      <c r="L73" s="62"/>
      <c r="M73" s="111"/>
    </row>
    <row r="74" spans="1:13" x14ac:dyDescent="0.25">
      <c r="A74" s="60">
        <v>39</v>
      </c>
      <c r="B74" s="61" t="s">
        <v>331</v>
      </c>
      <c r="C74" s="88" t="s">
        <v>167</v>
      </c>
      <c r="D74" s="104">
        <f t="shared" ref="D74:E81" si="25">SUM(F74,H74,J74,L74)</f>
        <v>0</v>
      </c>
      <c r="E74" s="104">
        <f t="shared" si="25"/>
        <v>0</v>
      </c>
      <c r="F74" s="62"/>
      <c r="G74" s="62"/>
      <c r="H74" s="62"/>
      <c r="I74" s="62"/>
      <c r="J74" s="63"/>
      <c r="K74" s="63"/>
      <c r="L74" s="63"/>
      <c r="M74" s="111"/>
    </row>
    <row r="75" spans="1:13" x14ac:dyDescent="0.25">
      <c r="A75" s="60">
        <v>40</v>
      </c>
      <c r="B75" s="61" t="s">
        <v>170</v>
      </c>
      <c r="C75" s="88" t="s">
        <v>171</v>
      </c>
      <c r="D75" s="104">
        <f t="shared" si="25"/>
        <v>0</v>
      </c>
      <c r="E75" s="104">
        <f t="shared" si="25"/>
        <v>0</v>
      </c>
      <c r="F75" s="62"/>
      <c r="G75" s="62"/>
      <c r="H75" s="62"/>
      <c r="I75" s="62"/>
      <c r="J75" s="63"/>
      <c r="K75" s="63"/>
      <c r="L75" s="63"/>
      <c r="M75" s="111"/>
    </row>
    <row r="76" spans="1:13" x14ac:dyDescent="0.25">
      <c r="A76" s="60">
        <v>41</v>
      </c>
      <c r="B76" s="61" t="s">
        <v>332</v>
      </c>
      <c r="C76" s="88" t="s">
        <v>333</v>
      </c>
      <c r="D76" s="104">
        <f t="shared" si="25"/>
        <v>0</v>
      </c>
      <c r="E76" s="104">
        <f t="shared" si="25"/>
        <v>0</v>
      </c>
      <c r="F76" s="62"/>
      <c r="G76" s="62"/>
      <c r="H76" s="62"/>
      <c r="I76" s="62"/>
      <c r="J76" s="63"/>
      <c r="K76" s="63"/>
      <c r="L76" s="63"/>
      <c r="M76" s="111"/>
    </row>
    <row r="77" spans="1:13" x14ac:dyDescent="0.25">
      <c r="A77" s="80">
        <v>42</v>
      </c>
      <c r="B77" s="81" t="s">
        <v>334</v>
      </c>
      <c r="C77" s="185" t="s">
        <v>175</v>
      </c>
      <c r="D77" s="104">
        <f t="shared" si="25"/>
        <v>26275</v>
      </c>
      <c r="E77" s="104">
        <f t="shared" si="25"/>
        <v>0</v>
      </c>
      <c r="F77" s="82">
        <f t="shared" ref="F77:M77" si="26">SUM(F78:F80)</f>
        <v>26275</v>
      </c>
      <c r="G77" s="82">
        <f t="shared" si="26"/>
        <v>0</v>
      </c>
      <c r="H77" s="82">
        <f t="shared" si="26"/>
        <v>0</v>
      </c>
      <c r="I77" s="82">
        <f t="shared" si="26"/>
        <v>0</v>
      </c>
      <c r="J77" s="82">
        <f t="shared" si="26"/>
        <v>0</v>
      </c>
      <c r="K77" s="82">
        <f t="shared" si="26"/>
        <v>0</v>
      </c>
      <c r="L77" s="82">
        <f t="shared" si="26"/>
        <v>0</v>
      </c>
      <c r="M77" s="82">
        <f t="shared" si="26"/>
        <v>0</v>
      </c>
    </row>
    <row r="78" spans="1:13" x14ac:dyDescent="0.25">
      <c r="A78" s="60"/>
      <c r="B78" s="76" t="s">
        <v>373</v>
      </c>
      <c r="C78" s="88"/>
      <c r="D78" s="104">
        <f t="shared" si="25"/>
        <v>0</v>
      </c>
      <c r="E78" s="104">
        <f t="shared" si="25"/>
        <v>0</v>
      </c>
      <c r="F78" s="62"/>
      <c r="G78" s="62"/>
      <c r="H78" s="62"/>
      <c r="I78" s="62"/>
      <c r="J78" s="63"/>
      <c r="K78" s="63"/>
      <c r="L78" s="63"/>
      <c r="M78" s="111"/>
    </row>
    <row r="79" spans="1:13" x14ac:dyDescent="0.25">
      <c r="A79" s="60"/>
      <c r="B79" s="76" t="s">
        <v>374</v>
      </c>
      <c r="C79" s="88"/>
      <c r="D79" s="104">
        <f t="shared" si="25"/>
        <v>0</v>
      </c>
      <c r="E79" s="104">
        <f t="shared" si="25"/>
        <v>0</v>
      </c>
      <c r="F79" s="62"/>
      <c r="G79" s="62"/>
      <c r="H79" s="62"/>
      <c r="I79" s="62"/>
      <c r="J79" s="63"/>
      <c r="K79" s="63"/>
      <c r="L79" s="63"/>
      <c r="M79" s="111"/>
    </row>
    <row r="80" spans="1:13" x14ac:dyDescent="0.25">
      <c r="A80" s="60"/>
      <c r="B80" s="76" t="s">
        <v>334</v>
      </c>
      <c r="C80" s="88"/>
      <c r="D80" s="104">
        <f t="shared" si="25"/>
        <v>26275</v>
      </c>
      <c r="E80" s="104">
        <f t="shared" si="25"/>
        <v>0</v>
      </c>
      <c r="F80" s="62">
        <v>26275</v>
      </c>
      <c r="G80" s="62"/>
      <c r="H80" s="62"/>
      <c r="I80" s="62"/>
      <c r="J80" s="63"/>
      <c r="K80" s="63"/>
      <c r="L80" s="63"/>
      <c r="M80" s="111"/>
    </row>
    <row r="81" spans="1:20" ht="29.25" x14ac:dyDescent="0.25">
      <c r="A81" s="80">
        <v>43</v>
      </c>
      <c r="B81" s="81" t="s">
        <v>338</v>
      </c>
      <c r="C81" s="185" t="s">
        <v>179</v>
      </c>
      <c r="D81" s="104">
        <f>SUM(F81,H81,J81,L81)</f>
        <v>1293994</v>
      </c>
      <c r="E81" s="104">
        <f t="shared" si="25"/>
        <v>1167000</v>
      </c>
      <c r="F81" s="82">
        <f t="shared" ref="F81" si="27">SUM(F77,F76,F75,F74,F73)</f>
        <v>1293994</v>
      </c>
      <c r="G81" s="82">
        <f t="shared" ref="G81:M81" si="28">SUM(G77,G76,G75,G74,G73)</f>
        <v>897000</v>
      </c>
      <c r="H81" s="82">
        <f t="shared" si="28"/>
        <v>0</v>
      </c>
      <c r="I81" s="82">
        <f t="shared" si="28"/>
        <v>270000</v>
      </c>
      <c r="J81" s="82">
        <f t="shared" si="28"/>
        <v>0</v>
      </c>
      <c r="K81" s="82">
        <f t="shared" si="28"/>
        <v>0</v>
      </c>
      <c r="L81" s="82">
        <f t="shared" si="28"/>
        <v>0</v>
      </c>
      <c r="M81" s="82">
        <f t="shared" si="28"/>
        <v>0</v>
      </c>
    </row>
    <row r="82" spans="1:20" s="49" customFormat="1" ht="23.25" customHeight="1" thickBot="1" x14ac:dyDescent="0.35">
      <c r="A82" s="1033" t="s">
        <v>339</v>
      </c>
      <c r="B82" s="1034"/>
      <c r="C82" s="302" t="s">
        <v>181</v>
      </c>
      <c r="D82" s="104">
        <f>SUM(F82,H82,J82,L82)</f>
        <v>7100718</v>
      </c>
      <c r="E82" s="104">
        <f>SUM(G82,I82,K82,M82)</f>
        <v>7857000</v>
      </c>
      <c r="F82" s="303">
        <f>SUM(F81,F72,F69,F47,F40)</f>
        <v>7020718</v>
      </c>
      <c r="G82" s="303">
        <f t="shared" ref="G82:M82" si="29">SUM(G81,G72,G69,G47,G40)</f>
        <v>6413000</v>
      </c>
      <c r="H82" s="303">
        <f t="shared" si="29"/>
        <v>0</v>
      </c>
      <c r="I82" s="303">
        <f t="shared" si="29"/>
        <v>1270000</v>
      </c>
      <c r="J82" s="303">
        <f t="shared" si="29"/>
        <v>0</v>
      </c>
      <c r="K82" s="303">
        <f t="shared" si="29"/>
        <v>0</v>
      </c>
      <c r="L82" s="303">
        <f t="shared" si="29"/>
        <v>80000</v>
      </c>
      <c r="M82" s="704">
        <f t="shared" si="29"/>
        <v>174000</v>
      </c>
      <c r="N82" s="376"/>
      <c r="O82" s="376"/>
      <c r="P82" s="376"/>
      <c r="Q82" s="376"/>
      <c r="R82" s="376"/>
      <c r="S82" s="376"/>
      <c r="T82" s="376"/>
    </row>
    <row r="83" spans="1:20" ht="30" customHeight="1" x14ac:dyDescent="0.25">
      <c r="A83" s="292">
        <v>44</v>
      </c>
      <c r="B83" s="293" t="s">
        <v>193</v>
      </c>
      <c r="C83" s="294" t="s">
        <v>194</v>
      </c>
      <c r="D83" s="104">
        <f t="shared" ref="D83:E99" si="30">SUM(F83,H83,J83,L83)</f>
        <v>0</v>
      </c>
      <c r="E83" s="104">
        <f t="shared" si="30"/>
        <v>0</v>
      </c>
      <c r="F83" s="295">
        <f t="shared" ref="F83:L83" si="31">F84</f>
        <v>0</v>
      </c>
      <c r="G83" s="295"/>
      <c r="H83" s="295"/>
      <c r="I83" s="295"/>
      <c r="J83" s="295">
        <f t="shared" si="31"/>
        <v>0</v>
      </c>
      <c r="K83" s="296"/>
      <c r="L83" s="296">
        <f t="shared" si="31"/>
        <v>0</v>
      </c>
      <c r="M83" s="111"/>
    </row>
    <row r="84" spans="1:20" ht="15" customHeight="1" x14ac:dyDescent="0.25">
      <c r="A84" s="60"/>
      <c r="B84" s="61"/>
      <c r="C84" s="88"/>
      <c r="D84" s="104">
        <f t="shared" si="30"/>
        <v>0</v>
      </c>
      <c r="E84" s="104">
        <f t="shared" si="30"/>
        <v>0</v>
      </c>
      <c r="F84" s="62"/>
      <c r="G84" s="62"/>
      <c r="H84" s="62"/>
      <c r="I84" s="62"/>
      <c r="J84" s="63"/>
      <c r="K84" s="279"/>
      <c r="L84" s="279"/>
      <c r="M84" s="111"/>
    </row>
    <row r="85" spans="1:20" ht="16.5" customHeight="1" x14ac:dyDescent="0.25">
      <c r="A85" s="60">
        <v>45</v>
      </c>
      <c r="B85" s="61" t="s">
        <v>340</v>
      </c>
      <c r="C85" s="88" t="s">
        <v>196</v>
      </c>
      <c r="D85" s="104">
        <f t="shared" si="30"/>
        <v>0</v>
      </c>
      <c r="E85" s="104">
        <f t="shared" si="30"/>
        <v>0</v>
      </c>
      <c r="F85" s="62"/>
      <c r="G85" s="62"/>
      <c r="H85" s="62"/>
      <c r="I85" s="62"/>
      <c r="J85" s="63"/>
      <c r="K85" s="279"/>
      <c r="L85" s="279"/>
      <c r="M85" s="111"/>
    </row>
    <row r="86" spans="1:20" ht="33" customHeight="1" x14ac:dyDescent="0.25">
      <c r="A86" s="60">
        <v>46</v>
      </c>
      <c r="B86" s="61" t="s">
        <v>341</v>
      </c>
      <c r="C86" s="88" t="s">
        <v>198</v>
      </c>
      <c r="D86" s="104">
        <f t="shared" si="30"/>
        <v>0</v>
      </c>
      <c r="E86" s="104">
        <f t="shared" si="30"/>
        <v>676000</v>
      </c>
      <c r="F86" s="62">
        <v>0</v>
      </c>
      <c r="G86" s="62">
        <v>310000</v>
      </c>
      <c r="H86" s="62"/>
      <c r="I86" s="62"/>
      <c r="J86" s="62">
        <f>SUM(J87:J87)</f>
        <v>0</v>
      </c>
      <c r="K86" s="280"/>
      <c r="L86" s="280"/>
      <c r="M86" s="289">
        <v>366000</v>
      </c>
    </row>
    <row r="87" spans="1:20" ht="30.75" customHeight="1" x14ac:dyDescent="0.25">
      <c r="A87" s="60"/>
      <c r="B87" s="83" t="s">
        <v>450</v>
      </c>
      <c r="C87" s="88"/>
      <c r="D87" s="104">
        <f t="shared" si="30"/>
        <v>0</v>
      </c>
      <c r="E87" s="104">
        <f t="shared" si="30"/>
        <v>0</v>
      </c>
      <c r="F87" s="62"/>
      <c r="G87" s="62"/>
      <c r="H87" s="62"/>
      <c r="I87" s="62"/>
      <c r="J87" s="63"/>
      <c r="K87" s="279"/>
      <c r="L87" s="279"/>
      <c r="M87" s="111"/>
    </row>
    <row r="88" spans="1:20" ht="30.75" customHeight="1" x14ac:dyDescent="0.25">
      <c r="A88" s="190">
        <v>47</v>
      </c>
      <c r="B88" s="90" t="s">
        <v>199</v>
      </c>
      <c r="C88" s="89" t="s">
        <v>200</v>
      </c>
      <c r="D88" s="104">
        <f t="shared" si="30"/>
        <v>861443</v>
      </c>
      <c r="E88" s="104">
        <f t="shared" si="30"/>
        <v>875310</v>
      </c>
      <c r="F88" s="91">
        <f>SUM(F89:F90)</f>
        <v>319415</v>
      </c>
      <c r="G88" s="91">
        <f>SUM(G89:G90)</f>
        <v>300310</v>
      </c>
      <c r="H88" s="91"/>
      <c r="I88" s="91"/>
      <c r="J88" s="91">
        <f t="shared" ref="J88:M88" si="32">J89</f>
        <v>542028</v>
      </c>
      <c r="K88" s="91">
        <f t="shared" si="32"/>
        <v>575000</v>
      </c>
      <c r="L88" s="91">
        <f t="shared" si="32"/>
        <v>0</v>
      </c>
      <c r="M88" s="91">
        <f t="shared" si="32"/>
        <v>0</v>
      </c>
    </row>
    <row r="89" spans="1:20" s="259" customFormat="1" ht="27.75" customHeight="1" x14ac:dyDescent="0.25">
      <c r="A89" s="398"/>
      <c r="B89" s="700" t="s">
        <v>592</v>
      </c>
      <c r="C89" s="399"/>
      <c r="D89" s="104">
        <f t="shared" si="30"/>
        <v>845710</v>
      </c>
      <c r="E89" s="104">
        <f t="shared" si="30"/>
        <v>875000</v>
      </c>
      <c r="F89" s="860">
        <v>303682</v>
      </c>
      <c r="G89" s="860">
        <v>300000</v>
      </c>
      <c r="H89" s="400"/>
      <c r="I89" s="400"/>
      <c r="J89" s="400">
        <v>542028</v>
      </c>
      <c r="K89" s="401">
        <v>575000</v>
      </c>
      <c r="L89" s="401"/>
      <c r="M89" s="289"/>
    </row>
    <row r="90" spans="1:20" ht="37.5" customHeight="1" thickBot="1" x14ac:dyDescent="0.3">
      <c r="A90" s="304">
        <v>50</v>
      </c>
      <c r="B90" s="305" t="s">
        <v>201</v>
      </c>
      <c r="C90" s="306" t="s">
        <v>202</v>
      </c>
      <c r="D90" s="104">
        <f t="shared" si="30"/>
        <v>44057</v>
      </c>
      <c r="E90" s="104">
        <f t="shared" si="30"/>
        <v>29060</v>
      </c>
      <c r="F90" s="307">
        <v>15733</v>
      </c>
      <c r="G90" s="307">
        <v>310</v>
      </c>
      <c r="H90" s="307"/>
      <c r="I90" s="307"/>
      <c r="J90" s="307">
        <v>28324</v>
      </c>
      <c r="K90" s="308">
        <f>K89*0.05</f>
        <v>28750</v>
      </c>
      <c r="L90" s="308">
        <f>SUM(L88,L86,L83,L85)*0.27</f>
        <v>0</v>
      </c>
      <c r="M90" s="289">
        <f>M89*0.27</f>
        <v>0</v>
      </c>
    </row>
    <row r="91" spans="1:20" ht="21.75" customHeight="1" x14ac:dyDescent="0.25">
      <c r="A91" s="1035" t="s">
        <v>375</v>
      </c>
      <c r="B91" s="1036"/>
      <c r="C91" s="1036"/>
      <c r="D91" s="104">
        <f t="shared" si="30"/>
        <v>905500</v>
      </c>
      <c r="E91" s="104">
        <f t="shared" si="30"/>
        <v>1580370</v>
      </c>
      <c r="F91" s="309">
        <f>SUM(F83:F86,F88,F90:F90)</f>
        <v>335148</v>
      </c>
      <c r="G91" s="309">
        <f t="shared" ref="G91:M91" si="33">SUM(G83:G86,G88,G90:G90)</f>
        <v>610620</v>
      </c>
      <c r="H91" s="309">
        <f>SUM(H83:H86,H88,H90:H90)</f>
        <v>0</v>
      </c>
      <c r="I91" s="309">
        <f>SUM(I83:I86,I88,I90:I90)</f>
        <v>0</v>
      </c>
      <c r="J91" s="309">
        <f t="shared" si="33"/>
        <v>570352</v>
      </c>
      <c r="K91" s="309">
        <f t="shared" si="33"/>
        <v>603750</v>
      </c>
      <c r="L91" s="309">
        <f t="shared" si="33"/>
        <v>0</v>
      </c>
      <c r="M91" s="705">
        <f t="shared" si="33"/>
        <v>366000</v>
      </c>
    </row>
    <row r="92" spans="1:20" x14ac:dyDescent="0.25">
      <c r="A92" s="60">
        <v>51</v>
      </c>
      <c r="B92" s="61" t="s">
        <v>205</v>
      </c>
      <c r="C92" s="88" t="s">
        <v>206</v>
      </c>
      <c r="D92" s="104">
        <f t="shared" si="30"/>
        <v>774015</v>
      </c>
      <c r="E92" s="104">
        <f t="shared" si="30"/>
        <v>0</v>
      </c>
      <c r="F92" s="62">
        <v>774015</v>
      </c>
      <c r="G92" s="62">
        <f t="shared" ref="G92:M92" si="34">G93+G94+G95</f>
        <v>0</v>
      </c>
      <c r="H92" s="62">
        <f t="shared" si="34"/>
        <v>0</v>
      </c>
      <c r="I92" s="62">
        <f t="shared" si="34"/>
        <v>0</v>
      </c>
      <c r="J92" s="62">
        <f t="shared" si="34"/>
        <v>0</v>
      </c>
      <c r="K92" s="62">
        <f t="shared" si="34"/>
        <v>0</v>
      </c>
      <c r="L92" s="62">
        <f t="shared" si="34"/>
        <v>0</v>
      </c>
      <c r="M92" s="62">
        <f t="shared" si="34"/>
        <v>0</v>
      </c>
    </row>
    <row r="93" spans="1:20" s="194" customFormat="1" x14ac:dyDescent="0.25">
      <c r="A93" s="60"/>
      <c r="B93" s="83"/>
      <c r="C93" s="88"/>
      <c r="D93" s="104">
        <f t="shared" si="30"/>
        <v>0</v>
      </c>
      <c r="E93" s="104">
        <f t="shared" si="30"/>
        <v>0</v>
      </c>
      <c r="F93" s="62"/>
      <c r="G93" s="62"/>
      <c r="H93" s="62"/>
      <c r="I93" s="62"/>
      <c r="J93" s="63"/>
      <c r="K93" s="63"/>
      <c r="L93" s="63"/>
      <c r="M93" s="289"/>
    </row>
    <row r="94" spans="1:20" s="259" customFormat="1" x14ac:dyDescent="0.25">
      <c r="A94" s="60"/>
      <c r="B94" s="83"/>
      <c r="C94" s="88"/>
      <c r="D94" s="104">
        <f t="shared" si="30"/>
        <v>0</v>
      </c>
      <c r="E94" s="104">
        <f t="shared" si="30"/>
        <v>0</v>
      </c>
      <c r="F94" s="62"/>
      <c r="G94" s="62"/>
      <c r="H94" s="62"/>
      <c r="I94" s="62"/>
      <c r="J94" s="63"/>
      <c r="K94" s="63"/>
      <c r="L94" s="63"/>
      <c r="M94" s="289"/>
    </row>
    <row r="95" spans="1:20" s="194" customFormat="1" x14ac:dyDescent="0.25">
      <c r="A95" s="60"/>
      <c r="B95" s="61" t="s">
        <v>593</v>
      </c>
      <c r="C95" s="88"/>
      <c r="D95" s="104">
        <f t="shared" si="30"/>
        <v>0</v>
      </c>
      <c r="E95" s="104">
        <f t="shared" si="30"/>
        <v>0</v>
      </c>
      <c r="F95" s="62"/>
      <c r="G95" s="62"/>
      <c r="H95" s="62"/>
      <c r="I95" s="62"/>
      <c r="J95" s="63"/>
      <c r="K95" s="63"/>
      <c r="L95" s="63"/>
      <c r="M95" s="289"/>
    </row>
    <row r="96" spans="1:20" x14ac:dyDescent="0.25">
      <c r="A96" s="60">
        <v>52</v>
      </c>
      <c r="B96" s="61" t="s">
        <v>346</v>
      </c>
      <c r="C96" s="88" t="s">
        <v>347</v>
      </c>
      <c r="D96" s="104">
        <f t="shared" si="30"/>
        <v>0</v>
      </c>
      <c r="E96" s="104">
        <f t="shared" si="30"/>
        <v>0</v>
      </c>
      <c r="F96" s="62"/>
      <c r="G96" s="62"/>
      <c r="H96" s="62"/>
      <c r="I96" s="62"/>
      <c r="J96" s="63"/>
      <c r="K96" s="63"/>
      <c r="L96" s="63"/>
      <c r="M96" s="289"/>
    </row>
    <row r="97" spans="1:13" x14ac:dyDescent="0.25">
      <c r="A97" s="60">
        <v>53</v>
      </c>
      <c r="B97" s="61" t="s">
        <v>348</v>
      </c>
      <c r="C97" s="88" t="s">
        <v>349</v>
      </c>
      <c r="D97" s="104">
        <f t="shared" si="30"/>
        <v>0</v>
      </c>
      <c r="E97" s="104">
        <f t="shared" si="30"/>
        <v>0</v>
      </c>
      <c r="F97" s="62"/>
      <c r="G97" s="62"/>
      <c r="H97" s="62"/>
      <c r="I97" s="62"/>
      <c r="J97" s="63"/>
      <c r="K97" s="63"/>
      <c r="L97" s="63"/>
      <c r="M97" s="289"/>
    </row>
    <row r="98" spans="1:13" ht="30" x14ac:dyDescent="0.25">
      <c r="A98" s="60">
        <v>54</v>
      </c>
      <c r="B98" s="61" t="s">
        <v>446</v>
      </c>
      <c r="C98" s="88" t="s">
        <v>208</v>
      </c>
      <c r="D98" s="104">
        <f t="shared" si="30"/>
        <v>208985</v>
      </c>
      <c r="E98" s="104">
        <f t="shared" si="30"/>
        <v>0</v>
      </c>
      <c r="F98" s="62">
        <v>208985</v>
      </c>
      <c r="G98" s="62">
        <v>0</v>
      </c>
      <c r="H98" s="62"/>
      <c r="I98" s="62"/>
      <c r="J98" s="62">
        <f>SUM(J92:J97)*0.27</f>
        <v>0</v>
      </c>
      <c r="K98" s="62">
        <f>K95*0.27</f>
        <v>0</v>
      </c>
      <c r="L98" s="62">
        <f>L92*0.27</f>
        <v>0</v>
      </c>
      <c r="M98" s="62">
        <f>SUM(M93:M97)*0.27</f>
        <v>0</v>
      </c>
    </row>
    <row r="99" spans="1:13" ht="16.5" thickBot="1" x14ac:dyDescent="0.3">
      <c r="A99" s="1037" t="s">
        <v>376</v>
      </c>
      <c r="B99" s="1038"/>
      <c r="C99" s="1038"/>
      <c r="D99" s="104">
        <f t="shared" si="30"/>
        <v>983000</v>
      </c>
      <c r="E99" s="104">
        <f t="shared" si="30"/>
        <v>0</v>
      </c>
      <c r="F99" s="310">
        <f>SUM(F92:F98)</f>
        <v>983000</v>
      </c>
      <c r="G99" s="310">
        <f>SUM(G92:G98)</f>
        <v>0</v>
      </c>
      <c r="H99" s="310"/>
      <c r="I99" s="310"/>
      <c r="J99" s="310">
        <f t="shared" ref="J99:M99" si="35">SUM(J93:J98)</f>
        <v>0</v>
      </c>
      <c r="K99" s="310">
        <f t="shared" si="35"/>
        <v>0</v>
      </c>
      <c r="L99" s="310">
        <f t="shared" si="35"/>
        <v>0</v>
      </c>
      <c r="M99" s="310">
        <f t="shared" si="35"/>
        <v>0</v>
      </c>
    </row>
    <row r="100" spans="1:13" ht="19.5" thickBot="1" x14ac:dyDescent="0.35">
      <c r="A100" s="1039" t="s">
        <v>377</v>
      </c>
      <c r="B100" s="1040"/>
      <c r="C100" s="1040"/>
      <c r="D100" s="437">
        <f>SUM(F100,H100,J100,L100)</f>
        <v>24512767</v>
      </c>
      <c r="E100" s="437">
        <f>SUM(G100,I100,K100,M100)</f>
        <v>26696583</v>
      </c>
      <c r="F100" s="438">
        <f t="shared" ref="F100:M100" si="36">SUM(F27,F82,F91,F99)</f>
        <v>23766415</v>
      </c>
      <c r="G100" s="438">
        <f t="shared" si="36"/>
        <v>20559632</v>
      </c>
      <c r="H100" s="438">
        <f t="shared" si="36"/>
        <v>0</v>
      </c>
      <c r="I100" s="438">
        <f t="shared" si="36"/>
        <v>1270000</v>
      </c>
      <c r="J100" s="438">
        <f t="shared" si="36"/>
        <v>570352</v>
      </c>
      <c r="K100" s="438">
        <f t="shared" si="36"/>
        <v>603750</v>
      </c>
      <c r="L100" s="438">
        <f t="shared" si="36"/>
        <v>176000</v>
      </c>
      <c r="M100" s="438">
        <f t="shared" si="36"/>
        <v>4263201</v>
      </c>
    </row>
    <row r="101" spans="1:13" ht="21" x14ac:dyDescent="0.35">
      <c r="A101" s="1047" t="s">
        <v>354</v>
      </c>
      <c r="B101" s="1048"/>
      <c r="C101" s="1048"/>
      <c r="D101" s="1048"/>
      <c r="E101" s="1048"/>
      <c r="F101" s="1048"/>
      <c r="G101" s="1048"/>
      <c r="H101" s="1048"/>
      <c r="I101" s="1048"/>
      <c r="J101" s="1048"/>
      <c r="K101" s="1048"/>
      <c r="L101" s="1048"/>
      <c r="M101" s="1048"/>
    </row>
    <row r="102" spans="1:13" ht="30" x14ac:dyDescent="0.25">
      <c r="A102" s="36">
        <v>55</v>
      </c>
      <c r="B102" s="37" t="s">
        <v>378</v>
      </c>
      <c r="C102" s="55" t="s">
        <v>155</v>
      </c>
      <c r="D102" s="104">
        <f t="shared" ref="D102:D103" si="37">SUM(F102,H102,J102,L102)</f>
        <v>5363826</v>
      </c>
      <c r="E102" s="104">
        <f t="shared" ref="D102:E104" si="38">SUM(G102,K102,M102)</f>
        <v>7000000</v>
      </c>
      <c r="F102" s="93">
        <v>5363826</v>
      </c>
      <c r="G102" s="93">
        <v>7000000</v>
      </c>
      <c r="H102" s="93"/>
      <c r="I102" s="93"/>
      <c r="J102" s="38">
        <v>0</v>
      </c>
      <c r="K102" s="38">
        <v>0</v>
      </c>
      <c r="L102" s="38">
        <v>0</v>
      </c>
      <c r="M102" s="706">
        <v>0</v>
      </c>
    </row>
    <row r="103" spans="1:13" x14ac:dyDescent="0.25">
      <c r="A103" s="36">
        <v>56</v>
      </c>
      <c r="B103" s="39" t="s">
        <v>379</v>
      </c>
      <c r="C103" s="55" t="s">
        <v>169</v>
      </c>
      <c r="D103" s="104">
        <f t="shared" si="37"/>
        <v>0</v>
      </c>
      <c r="E103" s="104">
        <f t="shared" si="38"/>
        <v>0</v>
      </c>
      <c r="F103" s="94"/>
      <c r="G103" s="94"/>
      <c r="H103" s="94"/>
      <c r="I103" s="94"/>
      <c r="J103" s="111"/>
      <c r="K103" s="111"/>
      <c r="L103" s="111"/>
      <c r="M103" s="111"/>
    </row>
    <row r="104" spans="1:13" x14ac:dyDescent="0.25">
      <c r="A104" s="36"/>
      <c r="B104" s="39" t="s">
        <v>380</v>
      </c>
      <c r="C104" s="55" t="s">
        <v>185</v>
      </c>
      <c r="D104" s="104">
        <f t="shared" si="38"/>
        <v>0</v>
      </c>
      <c r="E104" s="104">
        <f t="shared" si="38"/>
        <v>0</v>
      </c>
      <c r="F104" s="94"/>
      <c r="G104" s="94"/>
      <c r="H104" s="94"/>
      <c r="I104" s="94"/>
      <c r="J104" s="111"/>
      <c r="K104" s="111"/>
      <c r="L104" s="111"/>
      <c r="M104" s="111"/>
    </row>
    <row r="105" spans="1:13" ht="30" x14ac:dyDescent="0.25">
      <c r="A105" s="36"/>
      <c r="B105" s="39" t="s">
        <v>405</v>
      </c>
      <c r="C105" s="55" t="s">
        <v>404</v>
      </c>
      <c r="D105" s="104">
        <f t="shared" ref="D105:E108" si="39">SUM(F105,J105,L105)</f>
        <v>613428</v>
      </c>
      <c r="E105" s="104">
        <f t="shared" si="39"/>
        <v>3809993</v>
      </c>
      <c r="F105" s="94">
        <v>613428</v>
      </c>
      <c r="G105" s="94">
        <v>3809993</v>
      </c>
      <c r="H105" s="94"/>
      <c r="I105" s="94"/>
      <c r="J105" s="111"/>
      <c r="K105" s="111"/>
      <c r="L105" s="111"/>
      <c r="M105" s="111"/>
    </row>
    <row r="106" spans="1:13" s="100" customFormat="1" x14ac:dyDescent="0.25">
      <c r="A106" s="95">
        <v>57</v>
      </c>
      <c r="B106" s="96" t="s">
        <v>355</v>
      </c>
      <c r="C106" s="97" t="s">
        <v>356</v>
      </c>
      <c r="D106" s="98">
        <f>SUM(D107:D109)</f>
        <v>18535513</v>
      </c>
      <c r="E106" s="98">
        <f>SUM(E107:E109)</f>
        <v>15886590</v>
      </c>
      <c r="F106" s="99">
        <f>SUM(F107:F109)</f>
        <v>17789161</v>
      </c>
      <c r="G106" s="99">
        <f t="shared" ref="G106:M106" si="40">SUM(G107:G109)</f>
        <v>9749639</v>
      </c>
      <c r="H106" s="99">
        <f>SUM(H107:H109)</f>
        <v>0</v>
      </c>
      <c r="I106" s="99">
        <f t="shared" si="40"/>
        <v>1270000</v>
      </c>
      <c r="J106" s="99">
        <f t="shared" si="40"/>
        <v>570352</v>
      </c>
      <c r="K106" s="99">
        <f t="shared" si="40"/>
        <v>603750</v>
      </c>
      <c r="L106" s="99">
        <f t="shared" si="40"/>
        <v>176000</v>
      </c>
      <c r="M106" s="99">
        <f t="shared" si="40"/>
        <v>4263201</v>
      </c>
    </row>
    <row r="107" spans="1:13" ht="30" x14ac:dyDescent="0.25">
      <c r="A107" s="36"/>
      <c r="B107" s="45" t="s">
        <v>392</v>
      </c>
      <c r="C107" s="55"/>
      <c r="D107" s="104">
        <f>SUM(F107,H107,J107,L107)</f>
        <v>4999133</v>
      </c>
      <c r="E107" s="104">
        <f t="shared" si="39"/>
        <v>6273470</v>
      </c>
      <c r="F107" s="94">
        <f>'3mell-Normatíva'!F47*0.9</f>
        <v>4499219.7</v>
      </c>
      <c r="G107" s="94">
        <f>'3mell-Normatíva'!G47*0.9</f>
        <v>5646123</v>
      </c>
      <c r="H107" s="94"/>
      <c r="I107" s="94"/>
      <c r="J107" s="94">
        <f>'3mell-Normatíva'!F47*0.1</f>
        <v>499913.30000000005</v>
      </c>
      <c r="K107" s="94">
        <f>'3mell-Normatíva'!G47*0.1</f>
        <v>627347</v>
      </c>
      <c r="L107" s="94"/>
      <c r="M107" s="111"/>
    </row>
    <row r="108" spans="1:13" ht="30" x14ac:dyDescent="0.25">
      <c r="A108" s="36"/>
      <c r="B108" s="45" t="s">
        <v>393</v>
      </c>
      <c r="C108" s="55"/>
      <c r="D108" s="104">
        <f t="shared" si="39"/>
        <v>0</v>
      </c>
      <c r="E108" s="104">
        <f t="shared" si="39"/>
        <v>0</v>
      </c>
      <c r="F108" s="94"/>
      <c r="G108" s="94"/>
      <c r="H108" s="94"/>
      <c r="I108" s="94"/>
      <c r="J108" s="94"/>
      <c r="K108" s="94"/>
      <c r="L108" s="111"/>
      <c r="M108" s="111"/>
    </row>
    <row r="109" spans="1:13" ht="15.75" thickBot="1" x14ac:dyDescent="0.3">
      <c r="A109" s="101"/>
      <c r="B109" s="311" t="s">
        <v>445</v>
      </c>
      <c r="C109" s="102"/>
      <c r="D109" s="290">
        <f>SUM(F109,H109,J109,L109)</f>
        <v>13536380</v>
      </c>
      <c r="E109" s="290">
        <f>SUM(G109,I109,K109,M109)</f>
        <v>9613120</v>
      </c>
      <c r="F109" s="312">
        <f>F100-F107-F108-F102-F103-F104-F105</f>
        <v>13289941.300000001</v>
      </c>
      <c r="G109" s="312">
        <f>G100-G107-G108-G102-G103-G104-G105</f>
        <v>4103516</v>
      </c>
      <c r="H109" s="312">
        <f>H100-H107-H108-H102-H103-H104</f>
        <v>0</v>
      </c>
      <c r="I109" s="312">
        <f t="shared" ref="I109:M109" si="41">I100-I107-I108-I102-I103-I104</f>
        <v>1270000</v>
      </c>
      <c r="J109" s="312">
        <f>J100-J107-J108-J102-J103-J104</f>
        <v>70438.699999999953</v>
      </c>
      <c r="K109" s="312">
        <f t="shared" si="41"/>
        <v>-23597</v>
      </c>
      <c r="L109" s="312">
        <f t="shared" si="41"/>
        <v>176000</v>
      </c>
      <c r="M109" s="312">
        <f t="shared" si="41"/>
        <v>4263201</v>
      </c>
    </row>
    <row r="110" spans="1:13" ht="19.5" thickBot="1" x14ac:dyDescent="0.35">
      <c r="A110" s="1041" t="s">
        <v>357</v>
      </c>
      <c r="B110" s="1042"/>
      <c r="C110" s="1042"/>
      <c r="D110" s="436">
        <f t="shared" ref="D110:M110" si="42">SUM(D102:D106)</f>
        <v>24512767</v>
      </c>
      <c r="E110" s="436">
        <f t="shared" ref="E110" si="43">SUM(E102:E106)</f>
        <v>26696583</v>
      </c>
      <c r="F110" s="436">
        <f t="shared" si="42"/>
        <v>23766415</v>
      </c>
      <c r="G110" s="436">
        <f t="shared" si="42"/>
        <v>20559632</v>
      </c>
      <c r="H110" s="436">
        <f t="shared" si="42"/>
        <v>0</v>
      </c>
      <c r="I110" s="436">
        <f t="shared" si="42"/>
        <v>1270000</v>
      </c>
      <c r="J110" s="436">
        <f t="shared" si="42"/>
        <v>570352</v>
      </c>
      <c r="K110" s="436">
        <f t="shared" si="42"/>
        <v>603750</v>
      </c>
      <c r="L110" s="436">
        <f t="shared" si="42"/>
        <v>176000</v>
      </c>
      <c r="M110" s="436">
        <f t="shared" si="42"/>
        <v>4263201</v>
      </c>
    </row>
    <row r="111" spans="1:13" ht="21" x14ac:dyDescent="0.35">
      <c r="A111" s="1009" t="s">
        <v>381</v>
      </c>
      <c r="B111" s="1009"/>
      <c r="C111" s="1009"/>
      <c r="D111" s="439">
        <f>D100-D110</f>
        <v>0</v>
      </c>
      <c r="E111" s="439">
        <f t="shared" ref="E111:M111" si="44">E100-E110</f>
        <v>0</v>
      </c>
      <c r="F111" s="439">
        <f t="shared" si="44"/>
        <v>0</v>
      </c>
      <c r="G111" s="439">
        <f t="shared" si="44"/>
        <v>0</v>
      </c>
      <c r="H111" s="439"/>
      <c r="I111" s="439"/>
      <c r="J111" s="439">
        <f t="shared" si="44"/>
        <v>0</v>
      </c>
      <c r="K111" s="439">
        <f t="shared" si="44"/>
        <v>0</v>
      </c>
      <c r="L111" s="439">
        <f t="shared" si="44"/>
        <v>0</v>
      </c>
      <c r="M111" s="439">
        <f t="shared" si="44"/>
        <v>0</v>
      </c>
    </row>
  </sheetData>
  <mergeCells count="29">
    <mergeCell ref="L6:M6"/>
    <mergeCell ref="G7:G8"/>
    <mergeCell ref="D6:E6"/>
    <mergeCell ref="H6:I6"/>
    <mergeCell ref="H7:H8"/>
    <mergeCell ref="I7:I8"/>
    <mergeCell ref="M7:M8"/>
    <mergeCell ref="A1:K1"/>
    <mergeCell ref="A110:C110"/>
    <mergeCell ref="F5:L5"/>
    <mergeCell ref="A6:A8"/>
    <mergeCell ref="B6:B8"/>
    <mergeCell ref="C6:C8"/>
    <mergeCell ref="B3:J3"/>
    <mergeCell ref="D7:D8"/>
    <mergeCell ref="F7:F8"/>
    <mergeCell ref="J7:J8"/>
    <mergeCell ref="L7:L8"/>
    <mergeCell ref="F6:G6"/>
    <mergeCell ref="J6:K6"/>
    <mergeCell ref="A101:M101"/>
    <mergeCell ref="E7:E8"/>
    <mergeCell ref="K7:K8"/>
    <mergeCell ref="A111:C111"/>
    <mergeCell ref="A27:C27"/>
    <mergeCell ref="A82:B82"/>
    <mergeCell ref="A91:C91"/>
    <mergeCell ref="A99:C99"/>
    <mergeCell ref="A100:C100"/>
  </mergeCells>
  <pageMargins left="0.23622047244094491" right="0.23622047244094491" top="0.74803149606299213" bottom="0.74803149606299213" header="0.31496062992125984" footer="0.31496062992125984"/>
  <pageSetup paperSize="8" scale="4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A116"/>
  <sheetViews>
    <sheetView zoomScale="90" zoomScaleNormal="90" workbookViewId="0">
      <selection activeCell="H48" sqref="H48"/>
    </sheetView>
  </sheetViews>
  <sheetFormatPr defaultRowHeight="15" x14ac:dyDescent="0.25"/>
  <cols>
    <col min="1" max="1" width="9.140625" style="149"/>
    <col min="2" max="2" width="44.140625" style="35" customWidth="1"/>
    <col min="3" max="3" width="12" style="149" customWidth="1"/>
    <col min="4" max="4" width="21.140625" style="149" customWidth="1"/>
    <col min="5" max="5" width="20.7109375" style="259" customWidth="1"/>
    <col min="6" max="6" width="21.85546875" style="149" customWidth="1"/>
    <col min="7" max="7" width="20" style="149" customWidth="1"/>
    <col min="8" max="16384" width="9.140625" style="149"/>
  </cols>
  <sheetData>
    <row r="1" spans="1:9" x14ac:dyDescent="0.25">
      <c r="A1" s="976" t="s">
        <v>760</v>
      </c>
      <c r="B1" s="976"/>
      <c r="C1" s="976"/>
      <c r="D1" s="976"/>
      <c r="E1" s="976"/>
      <c r="F1" s="976"/>
      <c r="G1" s="976"/>
      <c r="H1" s="976"/>
      <c r="I1" s="976"/>
    </row>
    <row r="2" spans="1:9" ht="45.75" customHeight="1" x14ac:dyDescent="0.25">
      <c r="A2" s="1055" t="s">
        <v>672</v>
      </c>
      <c r="B2" s="1055"/>
      <c r="C2" s="1055"/>
      <c r="D2" s="1055"/>
      <c r="E2" s="1055"/>
      <c r="F2" s="1055"/>
    </row>
    <row r="3" spans="1:9" s="194" customFormat="1" ht="45.75" customHeight="1" thickBot="1" x14ac:dyDescent="0.3">
      <c r="A3" s="250"/>
      <c r="B3" s="250"/>
      <c r="C3" s="250"/>
      <c r="D3" s="250"/>
      <c r="E3" s="275"/>
      <c r="F3" s="281" t="s">
        <v>524</v>
      </c>
    </row>
    <row r="4" spans="1:9" ht="30" customHeight="1" x14ac:dyDescent="0.25">
      <c r="A4" s="1067" t="s">
        <v>275</v>
      </c>
      <c r="B4" s="1069" t="s">
        <v>68</v>
      </c>
      <c r="C4" s="1071" t="s">
        <v>67</v>
      </c>
      <c r="D4" s="1062" t="s">
        <v>230</v>
      </c>
      <c r="E4" s="1062"/>
      <c r="F4" s="1063" t="s">
        <v>594</v>
      </c>
      <c r="G4" s="1064"/>
    </row>
    <row r="5" spans="1:9" ht="15" customHeight="1" x14ac:dyDescent="0.25">
      <c r="A5" s="1068"/>
      <c r="B5" s="1070"/>
      <c r="C5" s="1072"/>
      <c r="D5" s="1056" t="s">
        <v>673</v>
      </c>
      <c r="E5" s="1056" t="s">
        <v>675</v>
      </c>
      <c r="F5" s="1057" t="s">
        <v>674</v>
      </c>
      <c r="G5" s="1065" t="s">
        <v>676</v>
      </c>
    </row>
    <row r="6" spans="1:9" ht="15.75" customHeight="1" x14ac:dyDescent="0.25">
      <c r="A6" s="1068"/>
      <c r="B6" s="1070"/>
      <c r="C6" s="1072"/>
      <c r="D6" s="1056"/>
      <c r="E6" s="1056"/>
      <c r="F6" s="1057"/>
      <c r="G6" s="1066"/>
    </row>
    <row r="7" spans="1:9" x14ac:dyDescent="0.25">
      <c r="A7" s="320">
        <v>1</v>
      </c>
      <c r="B7" s="37" t="s">
        <v>71</v>
      </c>
      <c r="C7" s="111" t="s">
        <v>72</v>
      </c>
      <c r="D7" s="421">
        <f>SUM(,F7)</f>
        <v>20472854</v>
      </c>
      <c r="E7" s="421">
        <f>SUM(,G7)</f>
        <v>21528600</v>
      </c>
      <c r="F7" s="289">
        <v>20472854</v>
      </c>
      <c r="G7" s="379">
        <v>21528600</v>
      </c>
    </row>
    <row r="8" spans="1:9" x14ac:dyDescent="0.25">
      <c r="A8" s="320">
        <v>2</v>
      </c>
      <c r="B8" s="37" t="s">
        <v>277</v>
      </c>
      <c r="C8" s="111" t="s">
        <v>278</v>
      </c>
      <c r="D8" s="421">
        <f t="shared" ref="D8:E70" si="0">SUM(,F8)</f>
        <v>0</v>
      </c>
      <c r="E8" s="421">
        <f t="shared" si="0"/>
        <v>0</v>
      </c>
      <c r="F8" s="289"/>
      <c r="G8" s="379"/>
    </row>
    <row r="9" spans="1:9" x14ac:dyDescent="0.25">
      <c r="A9" s="320">
        <v>3</v>
      </c>
      <c r="B9" s="37" t="s">
        <v>279</v>
      </c>
      <c r="C9" s="111" t="s">
        <v>280</v>
      </c>
      <c r="D9" s="421">
        <f t="shared" si="0"/>
        <v>1757300</v>
      </c>
      <c r="E9" s="421">
        <f t="shared" si="0"/>
        <v>0</v>
      </c>
      <c r="F9" s="289">
        <v>1757300</v>
      </c>
      <c r="G9" s="379"/>
    </row>
    <row r="10" spans="1:9" ht="30" x14ac:dyDescent="0.25">
      <c r="A10" s="320">
        <v>4</v>
      </c>
      <c r="B10" s="37" t="s">
        <v>281</v>
      </c>
      <c r="C10" s="111" t="s">
        <v>73</v>
      </c>
      <c r="D10" s="421">
        <f t="shared" si="0"/>
        <v>52650</v>
      </c>
      <c r="E10" s="421">
        <f t="shared" si="0"/>
        <v>0</v>
      </c>
      <c r="F10" s="289">
        <v>52650</v>
      </c>
      <c r="G10" s="379"/>
    </row>
    <row r="11" spans="1:9" x14ac:dyDescent="0.25">
      <c r="A11" s="320">
        <v>5</v>
      </c>
      <c r="B11" s="37" t="s">
        <v>282</v>
      </c>
      <c r="C11" s="111" t="s">
        <v>283</v>
      </c>
      <c r="D11" s="421">
        <f t="shared" si="0"/>
        <v>0</v>
      </c>
      <c r="E11" s="421">
        <f t="shared" si="0"/>
        <v>0</v>
      </c>
      <c r="F11" s="289"/>
      <c r="G11" s="379"/>
    </row>
    <row r="12" spans="1:9" x14ac:dyDescent="0.25">
      <c r="A12" s="320">
        <v>6</v>
      </c>
      <c r="B12" s="37" t="s">
        <v>74</v>
      </c>
      <c r="C12" s="111" t="s">
        <v>75</v>
      </c>
      <c r="D12" s="421">
        <f t="shared" si="0"/>
        <v>0</v>
      </c>
      <c r="E12" s="421">
        <f t="shared" si="0"/>
        <v>0</v>
      </c>
      <c r="F12" s="289"/>
      <c r="G12" s="379">
        <v>0</v>
      </c>
    </row>
    <row r="13" spans="1:9" x14ac:dyDescent="0.25">
      <c r="A13" s="320">
        <v>7</v>
      </c>
      <c r="B13" s="37" t="s">
        <v>284</v>
      </c>
      <c r="C13" s="111" t="s">
        <v>77</v>
      </c>
      <c r="D13" s="421">
        <f t="shared" si="0"/>
        <v>894000</v>
      </c>
      <c r="E13" s="421">
        <f t="shared" si="0"/>
        <v>2082000</v>
      </c>
      <c r="F13" s="289">
        <v>894000</v>
      </c>
      <c r="G13" s="379">
        <v>2082000</v>
      </c>
    </row>
    <row r="14" spans="1:9" x14ac:dyDescent="0.25">
      <c r="A14" s="320">
        <v>8</v>
      </c>
      <c r="B14" s="37" t="s">
        <v>285</v>
      </c>
      <c r="C14" s="111" t="s">
        <v>286</v>
      </c>
      <c r="D14" s="421">
        <f t="shared" si="0"/>
        <v>63000</v>
      </c>
      <c r="E14" s="421">
        <f t="shared" si="0"/>
        <v>63000</v>
      </c>
      <c r="F14" s="289">
        <v>63000</v>
      </c>
      <c r="G14" s="379">
        <v>63000</v>
      </c>
    </row>
    <row r="15" spans="1:9" x14ac:dyDescent="0.25">
      <c r="A15" s="320">
        <v>9</v>
      </c>
      <c r="B15" s="37" t="s">
        <v>287</v>
      </c>
      <c r="C15" s="111" t="s">
        <v>79</v>
      </c>
      <c r="D15" s="421">
        <f t="shared" si="0"/>
        <v>548476</v>
      </c>
      <c r="E15" s="421">
        <f t="shared" si="0"/>
        <v>602868</v>
      </c>
      <c r="F15" s="289">
        <v>548476</v>
      </c>
      <c r="G15" s="379">
        <v>602868</v>
      </c>
    </row>
    <row r="16" spans="1:9" x14ac:dyDescent="0.25">
      <c r="A16" s="320">
        <v>10</v>
      </c>
      <c r="B16" s="37" t="s">
        <v>288</v>
      </c>
      <c r="C16" s="111" t="s">
        <v>81</v>
      </c>
      <c r="D16" s="421">
        <f t="shared" si="0"/>
        <v>0</v>
      </c>
      <c r="E16" s="421">
        <f t="shared" si="0"/>
        <v>322000</v>
      </c>
      <c r="F16" s="289"/>
      <c r="G16" s="379">
        <v>322000</v>
      </c>
    </row>
    <row r="17" spans="1:12" x14ac:dyDescent="0.25">
      <c r="A17" s="320">
        <v>11</v>
      </c>
      <c r="B17" s="37" t="s">
        <v>289</v>
      </c>
      <c r="C17" s="111" t="s">
        <v>290</v>
      </c>
      <c r="D17" s="421">
        <f t="shared" si="0"/>
        <v>0</v>
      </c>
      <c r="E17" s="421">
        <f t="shared" si="0"/>
        <v>0</v>
      </c>
      <c r="F17" s="289"/>
      <c r="G17" s="379"/>
    </row>
    <row r="18" spans="1:12" ht="15.75" customHeight="1" x14ac:dyDescent="0.25">
      <c r="A18" s="320">
        <v>12</v>
      </c>
      <c r="B18" s="37" t="s">
        <v>735</v>
      </c>
      <c r="C18" s="111" t="s">
        <v>292</v>
      </c>
      <c r="D18" s="421">
        <f t="shared" si="0"/>
        <v>0</v>
      </c>
      <c r="E18" s="421">
        <f t="shared" si="0"/>
        <v>300000</v>
      </c>
      <c r="F18" s="289"/>
      <c r="G18" s="385">
        <v>300000</v>
      </c>
    </row>
    <row r="19" spans="1:12" x14ac:dyDescent="0.25">
      <c r="A19" s="320">
        <v>13</v>
      </c>
      <c r="B19" s="37" t="s">
        <v>293</v>
      </c>
      <c r="C19" s="111" t="s">
        <v>83</v>
      </c>
      <c r="D19" s="421">
        <f t="shared" si="0"/>
        <v>2119890</v>
      </c>
      <c r="E19" s="421">
        <f t="shared" si="0"/>
        <v>3602800</v>
      </c>
      <c r="F19" s="289">
        <v>2119890</v>
      </c>
      <c r="G19" s="379">
        <v>3602800</v>
      </c>
    </row>
    <row r="20" spans="1:12" ht="30" x14ac:dyDescent="0.25">
      <c r="A20" s="390">
        <v>14</v>
      </c>
      <c r="B20" s="40" t="s">
        <v>294</v>
      </c>
      <c r="C20" s="282" t="s">
        <v>87</v>
      </c>
      <c r="D20" s="421">
        <f t="shared" si="0"/>
        <v>25908170</v>
      </c>
      <c r="E20" s="421">
        <f t="shared" si="0"/>
        <v>28501268</v>
      </c>
      <c r="F20" s="422">
        <f t="shared" ref="F20:G20" si="1">SUM(F7:F19)</f>
        <v>25908170</v>
      </c>
      <c r="G20" s="422">
        <f t="shared" si="1"/>
        <v>28501268</v>
      </c>
    </row>
    <row r="21" spans="1:12" x14ac:dyDescent="0.25">
      <c r="A21" s="391"/>
      <c r="B21" s="383"/>
      <c r="C21" s="384" t="s">
        <v>89</v>
      </c>
      <c r="D21" s="421">
        <f t="shared" si="0"/>
        <v>0</v>
      </c>
      <c r="E21" s="421"/>
      <c r="F21" s="423"/>
      <c r="G21" s="379"/>
    </row>
    <row r="22" spans="1:12" x14ac:dyDescent="0.25">
      <c r="A22" s="391"/>
      <c r="B22" s="383"/>
      <c r="C22" s="384" t="s">
        <v>91</v>
      </c>
      <c r="D22" s="421">
        <f t="shared" si="0"/>
        <v>0</v>
      </c>
      <c r="E22" s="421"/>
      <c r="F22" s="423"/>
      <c r="G22" s="379"/>
    </row>
    <row r="23" spans="1:12" x14ac:dyDescent="0.25">
      <c r="A23" s="320">
        <v>17</v>
      </c>
      <c r="B23" s="39" t="s">
        <v>295</v>
      </c>
      <c r="C23" s="111" t="s">
        <v>93</v>
      </c>
      <c r="D23" s="421">
        <f t="shared" si="0"/>
        <v>0</v>
      </c>
      <c r="E23" s="421"/>
      <c r="F23" s="289">
        <v>0</v>
      </c>
      <c r="G23" s="379">
        <v>40000</v>
      </c>
    </row>
    <row r="24" spans="1:12" x14ac:dyDescent="0.25">
      <c r="A24" s="390">
        <v>18</v>
      </c>
      <c r="B24" s="40" t="s">
        <v>296</v>
      </c>
      <c r="C24" s="282" t="s">
        <v>97</v>
      </c>
      <c r="D24" s="421">
        <f t="shared" si="0"/>
        <v>0</v>
      </c>
      <c r="E24" s="421"/>
      <c r="F24" s="422">
        <f t="shared" ref="F24:G24" si="2">SUM(F21:F23)</f>
        <v>0</v>
      </c>
      <c r="G24" s="422">
        <f t="shared" si="2"/>
        <v>40000</v>
      </c>
    </row>
    <row r="25" spans="1:12" s="41" customFormat="1" x14ac:dyDescent="0.25">
      <c r="A25" s="796">
        <v>19</v>
      </c>
      <c r="B25" s="797" t="s">
        <v>297</v>
      </c>
      <c r="C25" s="798" t="s">
        <v>99</v>
      </c>
      <c r="D25" s="421">
        <f t="shared" si="0"/>
        <v>25908170</v>
      </c>
      <c r="E25" s="421">
        <f t="shared" si="0"/>
        <v>28541268</v>
      </c>
      <c r="F25" s="799">
        <f t="shared" ref="F25:G25" si="3">SUM(F24,F20)</f>
        <v>25908170</v>
      </c>
      <c r="G25" s="799">
        <f t="shared" si="3"/>
        <v>28541268</v>
      </c>
      <c r="H25" s="374"/>
      <c r="I25" s="374"/>
      <c r="J25" s="374"/>
      <c r="K25" s="374"/>
      <c r="L25" s="374"/>
    </row>
    <row r="26" spans="1:12" s="42" customFormat="1" ht="30" x14ac:dyDescent="0.25">
      <c r="A26" s="796">
        <v>20</v>
      </c>
      <c r="B26" s="797" t="s">
        <v>298</v>
      </c>
      <c r="C26" s="798" t="s">
        <v>101</v>
      </c>
      <c r="D26" s="421">
        <f t="shared" si="0"/>
        <v>4402564</v>
      </c>
      <c r="E26" s="421">
        <f t="shared" si="0"/>
        <v>4217432</v>
      </c>
      <c r="F26" s="799">
        <v>4402564</v>
      </c>
      <c r="G26" s="799">
        <v>4217432</v>
      </c>
      <c r="H26" s="375"/>
      <c r="I26" s="375"/>
      <c r="J26" s="375"/>
      <c r="K26" s="375"/>
      <c r="L26" s="375"/>
    </row>
    <row r="27" spans="1:12" s="42" customFormat="1" ht="45" customHeight="1" x14ac:dyDescent="0.3">
      <c r="A27" s="1058" t="s">
        <v>443</v>
      </c>
      <c r="B27" s="1059"/>
      <c r="C27" s="1059"/>
      <c r="D27" s="795">
        <f>SUM(D26,D25)</f>
        <v>30310734</v>
      </c>
      <c r="E27" s="795">
        <f t="shared" ref="E27:G27" si="4">SUM(E26,E25)</f>
        <v>32758700</v>
      </c>
      <c r="F27" s="795">
        <f>SUM(F26,F25)</f>
        <v>30310734</v>
      </c>
      <c r="G27" s="795">
        <f t="shared" si="4"/>
        <v>32758700</v>
      </c>
      <c r="H27" s="375"/>
      <c r="I27" s="375"/>
      <c r="J27" s="375"/>
      <c r="K27" s="375"/>
      <c r="L27" s="375"/>
    </row>
    <row r="28" spans="1:12" s="44" customFormat="1" x14ac:dyDescent="0.25">
      <c r="A28" s="392">
        <v>21</v>
      </c>
      <c r="B28" s="43" t="s">
        <v>299</v>
      </c>
      <c r="C28" s="283" t="s">
        <v>107</v>
      </c>
      <c r="D28" s="421">
        <f t="shared" si="0"/>
        <v>99814</v>
      </c>
      <c r="E28" s="421">
        <f t="shared" si="0"/>
        <v>100000</v>
      </c>
      <c r="F28" s="424">
        <f t="shared" ref="F28:G28" si="5">SUM(F29:F32)</f>
        <v>99814</v>
      </c>
      <c r="G28" s="424">
        <f t="shared" si="5"/>
        <v>100000</v>
      </c>
    </row>
    <row r="29" spans="1:12" x14ac:dyDescent="0.25">
      <c r="A29" s="320">
        <v>22</v>
      </c>
      <c r="B29" s="45" t="s">
        <v>242</v>
      </c>
      <c r="C29" s="111"/>
      <c r="D29" s="421">
        <f t="shared" si="0"/>
        <v>0</v>
      </c>
      <c r="E29" s="421">
        <f t="shared" si="0"/>
        <v>0</v>
      </c>
      <c r="F29" s="289"/>
      <c r="G29" s="379"/>
    </row>
    <row r="30" spans="1:12" x14ac:dyDescent="0.25">
      <c r="A30" s="320">
        <v>23</v>
      </c>
      <c r="B30" s="45" t="s">
        <v>300</v>
      </c>
      <c r="C30" s="111"/>
      <c r="D30" s="421">
        <f t="shared" si="0"/>
        <v>0</v>
      </c>
      <c r="E30" s="421">
        <f t="shared" si="0"/>
        <v>0</v>
      </c>
      <c r="F30" s="289"/>
      <c r="G30" s="379"/>
    </row>
    <row r="31" spans="1:12" x14ac:dyDescent="0.25">
      <c r="A31" s="320">
        <v>24</v>
      </c>
      <c r="B31" s="45" t="s">
        <v>549</v>
      </c>
      <c r="C31" s="111"/>
      <c r="D31" s="421">
        <f t="shared" si="0"/>
        <v>99814</v>
      </c>
      <c r="E31" s="421">
        <f t="shared" si="0"/>
        <v>100000</v>
      </c>
      <c r="F31" s="289">
        <v>99814</v>
      </c>
      <c r="G31" s="379">
        <v>100000</v>
      </c>
    </row>
    <row r="32" spans="1:12" x14ac:dyDescent="0.25">
      <c r="A32" s="320">
        <v>25</v>
      </c>
      <c r="B32" s="45" t="s">
        <v>301</v>
      </c>
      <c r="C32" s="111"/>
      <c r="D32" s="421">
        <f t="shared" si="0"/>
        <v>0</v>
      </c>
      <c r="E32" s="421">
        <f t="shared" si="0"/>
        <v>0</v>
      </c>
      <c r="F32" s="289"/>
      <c r="G32" s="379"/>
    </row>
    <row r="33" spans="1:7" s="44" customFormat="1" x14ac:dyDescent="0.25">
      <c r="A33" s="392">
        <v>26</v>
      </c>
      <c r="B33" s="43" t="s">
        <v>302</v>
      </c>
      <c r="C33" s="283" t="s">
        <v>110</v>
      </c>
      <c r="D33" s="421">
        <f t="shared" si="0"/>
        <v>436167</v>
      </c>
      <c r="E33" s="421">
        <f t="shared" si="0"/>
        <v>410000</v>
      </c>
      <c r="F33" s="424">
        <f t="shared" ref="F33:G33" si="6">SUM(F34:F39)</f>
        <v>436167</v>
      </c>
      <c r="G33" s="424">
        <f t="shared" si="6"/>
        <v>410000</v>
      </c>
    </row>
    <row r="34" spans="1:7" x14ac:dyDescent="0.25">
      <c r="A34" s="320">
        <v>27</v>
      </c>
      <c r="B34" s="45" t="s">
        <v>303</v>
      </c>
      <c r="C34" s="111"/>
      <c r="D34" s="421">
        <f t="shared" si="0"/>
        <v>0</v>
      </c>
      <c r="E34" s="421">
        <f t="shared" si="0"/>
        <v>350000</v>
      </c>
      <c r="F34" s="289"/>
      <c r="G34" s="379">
        <v>350000</v>
      </c>
    </row>
    <row r="35" spans="1:7" x14ac:dyDescent="0.25">
      <c r="A35" s="320">
        <v>28</v>
      </c>
      <c r="B35" s="45" t="s">
        <v>304</v>
      </c>
      <c r="C35" s="111"/>
      <c r="D35" s="421">
        <f t="shared" si="0"/>
        <v>0</v>
      </c>
      <c r="E35" s="421">
        <f t="shared" si="0"/>
        <v>0</v>
      </c>
      <c r="F35" s="289"/>
      <c r="G35" s="379"/>
    </row>
    <row r="36" spans="1:7" x14ac:dyDescent="0.25">
      <c r="A36" s="320">
        <v>29</v>
      </c>
      <c r="B36" s="45" t="s">
        <v>305</v>
      </c>
      <c r="C36" s="111"/>
      <c r="D36" s="421">
        <f t="shared" si="0"/>
        <v>436167</v>
      </c>
      <c r="E36" s="421">
        <f t="shared" si="0"/>
        <v>0</v>
      </c>
      <c r="F36" s="289">
        <v>436167</v>
      </c>
      <c r="G36" s="379"/>
    </row>
    <row r="37" spans="1:7" x14ac:dyDescent="0.25">
      <c r="A37" s="320">
        <v>30</v>
      </c>
      <c r="B37" s="45" t="s">
        <v>306</v>
      </c>
      <c r="C37" s="111"/>
      <c r="D37" s="421">
        <f t="shared" si="0"/>
        <v>0</v>
      </c>
      <c r="E37" s="421">
        <f t="shared" si="0"/>
        <v>0</v>
      </c>
      <c r="F37" s="289"/>
      <c r="G37" s="379"/>
    </row>
    <row r="38" spans="1:7" x14ac:dyDescent="0.25">
      <c r="A38" s="320">
        <v>31</v>
      </c>
      <c r="B38" s="45" t="s">
        <v>307</v>
      </c>
      <c r="C38" s="111"/>
      <c r="D38" s="421">
        <f t="shared" si="0"/>
        <v>0</v>
      </c>
      <c r="E38" s="421">
        <f t="shared" si="0"/>
        <v>0</v>
      </c>
      <c r="F38" s="289"/>
      <c r="G38" s="379"/>
    </row>
    <row r="39" spans="1:7" x14ac:dyDescent="0.25">
      <c r="A39" s="320">
        <v>32</v>
      </c>
      <c r="B39" s="45" t="s">
        <v>249</v>
      </c>
      <c r="C39" s="111"/>
      <c r="D39" s="421">
        <f t="shared" si="0"/>
        <v>0</v>
      </c>
      <c r="E39" s="421">
        <f t="shared" si="0"/>
        <v>60000</v>
      </c>
      <c r="F39" s="289"/>
      <c r="G39" s="379">
        <v>60000</v>
      </c>
    </row>
    <row r="40" spans="1:7" s="44" customFormat="1" ht="15.75" x14ac:dyDescent="0.25">
      <c r="A40" s="393">
        <v>33</v>
      </c>
      <c r="B40" s="46" t="s">
        <v>308</v>
      </c>
      <c r="C40" s="284" t="s">
        <v>116</v>
      </c>
      <c r="D40" s="421">
        <f t="shared" si="0"/>
        <v>535981</v>
      </c>
      <c r="E40" s="421">
        <f t="shared" si="0"/>
        <v>510000</v>
      </c>
      <c r="F40" s="425">
        <f t="shared" ref="F40:G40" si="7">SUM(F28,F33)</f>
        <v>535981</v>
      </c>
      <c r="G40" s="425">
        <f t="shared" si="7"/>
        <v>510000</v>
      </c>
    </row>
    <row r="41" spans="1:7" x14ac:dyDescent="0.25">
      <c r="A41" s="394">
        <v>34</v>
      </c>
      <c r="B41" s="47" t="s">
        <v>309</v>
      </c>
      <c r="C41" s="50" t="s">
        <v>120</v>
      </c>
      <c r="D41" s="421">
        <f t="shared" si="0"/>
        <v>1010479</v>
      </c>
      <c r="E41" s="421">
        <f t="shared" si="0"/>
        <v>400000</v>
      </c>
      <c r="F41" s="426">
        <f t="shared" ref="F41:G41" si="8">SUM(F42:F43)</f>
        <v>1010479</v>
      </c>
      <c r="G41" s="426">
        <f t="shared" si="8"/>
        <v>400000</v>
      </c>
    </row>
    <row r="42" spans="1:7" x14ac:dyDescent="0.25">
      <c r="A42" s="320">
        <v>35</v>
      </c>
      <c r="B42" s="37" t="s">
        <v>310</v>
      </c>
      <c r="C42" s="111"/>
      <c r="D42" s="421">
        <f t="shared" si="0"/>
        <v>0</v>
      </c>
      <c r="E42" s="421">
        <f t="shared" si="0"/>
        <v>0</v>
      </c>
      <c r="F42" s="289"/>
      <c r="G42" s="379"/>
    </row>
    <row r="43" spans="1:7" x14ac:dyDescent="0.25">
      <c r="A43" s="320">
        <v>36</v>
      </c>
      <c r="B43" s="37" t="s">
        <v>663</v>
      </c>
      <c r="C43" s="111"/>
      <c r="D43" s="421">
        <f t="shared" si="0"/>
        <v>1010479</v>
      </c>
      <c r="E43" s="421">
        <f t="shared" si="0"/>
        <v>400000</v>
      </c>
      <c r="F43" s="427">
        <v>1010479</v>
      </c>
      <c r="G43" s="379">
        <v>400000</v>
      </c>
    </row>
    <row r="44" spans="1:7" x14ac:dyDescent="0.25">
      <c r="A44" s="394">
        <v>37</v>
      </c>
      <c r="B44" s="47" t="s">
        <v>311</v>
      </c>
      <c r="C44" s="50" t="s">
        <v>123</v>
      </c>
      <c r="D44" s="421">
        <f t="shared" si="0"/>
        <v>954244</v>
      </c>
      <c r="E44" s="421">
        <f t="shared" si="0"/>
        <v>650000</v>
      </c>
      <c r="F44" s="426">
        <f t="shared" ref="F44:G44" si="9">SUM(F45:F46)</f>
        <v>954244</v>
      </c>
      <c r="G44" s="426">
        <f t="shared" si="9"/>
        <v>650000</v>
      </c>
    </row>
    <row r="45" spans="1:7" x14ac:dyDescent="0.25">
      <c r="A45" s="320">
        <v>38</v>
      </c>
      <c r="B45" s="39" t="s">
        <v>312</v>
      </c>
      <c r="C45" s="111"/>
      <c r="D45" s="421">
        <f t="shared" si="0"/>
        <v>0</v>
      </c>
      <c r="E45" s="421">
        <f t="shared" si="0"/>
        <v>0</v>
      </c>
      <c r="F45" s="289"/>
      <c r="G45" s="379"/>
    </row>
    <row r="46" spans="1:7" x14ac:dyDescent="0.25">
      <c r="A46" s="320">
        <v>39</v>
      </c>
      <c r="B46" s="39" t="s">
        <v>313</v>
      </c>
      <c r="C46" s="111"/>
      <c r="D46" s="421">
        <f t="shared" si="0"/>
        <v>954244</v>
      </c>
      <c r="E46" s="421">
        <f t="shared" si="0"/>
        <v>650000</v>
      </c>
      <c r="F46" s="289">
        <v>954244</v>
      </c>
      <c r="G46" s="379">
        <v>650000</v>
      </c>
    </row>
    <row r="47" spans="1:7" x14ac:dyDescent="0.25">
      <c r="A47" s="320">
        <v>40</v>
      </c>
      <c r="B47" s="39" t="s">
        <v>314</v>
      </c>
      <c r="C47" s="111"/>
      <c r="D47" s="421">
        <f t="shared" si="0"/>
        <v>0</v>
      </c>
      <c r="E47" s="421">
        <f t="shared" si="0"/>
        <v>0</v>
      </c>
      <c r="F47" s="289"/>
      <c r="G47" s="387"/>
    </row>
    <row r="48" spans="1:7" ht="15.75" x14ac:dyDescent="0.25">
      <c r="A48" s="393">
        <v>41</v>
      </c>
      <c r="B48" s="46" t="s">
        <v>126</v>
      </c>
      <c r="C48" s="284" t="s">
        <v>127</v>
      </c>
      <c r="D48" s="421">
        <f t="shared" si="0"/>
        <v>1964723</v>
      </c>
      <c r="E48" s="421">
        <f t="shared" si="0"/>
        <v>1050000</v>
      </c>
      <c r="F48" s="425">
        <f t="shared" ref="F48:G48" si="10">SUM(F41,F44)</f>
        <v>1964723</v>
      </c>
      <c r="G48" s="425">
        <f t="shared" si="10"/>
        <v>1050000</v>
      </c>
    </row>
    <row r="49" spans="1:7" x14ac:dyDescent="0.25">
      <c r="A49" s="394">
        <v>42</v>
      </c>
      <c r="B49" s="47" t="s">
        <v>315</v>
      </c>
      <c r="C49" s="50" t="s">
        <v>130</v>
      </c>
      <c r="D49" s="421">
        <f t="shared" si="0"/>
        <v>896297</v>
      </c>
      <c r="E49" s="421">
        <f t="shared" si="0"/>
        <v>1450000</v>
      </c>
      <c r="F49" s="426">
        <f t="shared" ref="F49:G49" si="11">SUM(F50:F52)</f>
        <v>896297</v>
      </c>
      <c r="G49" s="426">
        <f t="shared" si="11"/>
        <v>1450000</v>
      </c>
    </row>
    <row r="50" spans="1:7" x14ac:dyDescent="0.25">
      <c r="A50" s="320">
        <v>43</v>
      </c>
      <c r="B50" s="48" t="s">
        <v>316</v>
      </c>
      <c r="C50" s="111"/>
      <c r="D50" s="421">
        <f t="shared" si="0"/>
        <v>0</v>
      </c>
      <c r="E50" s="421">
        <f t="shared" si="0"/>
        <v>300000</v>
      </c>
      <c r="F50" s="289"/>
      <c r="G50" s="379">
        <v>300000</v>
      </c>
    </row>
    <row r="51" spans="1:7" x14ac:dyDescent="0.25">
      <c r="A51" s="320">
        <v>44</v>
      </c>
      <c r="B51" s="48" t="s">
        <v>317</v>
      </c>
      <c r="C51" s="111"/>
      <c r="D51" s="421">
        <f t="shared" si="0"/>
        <v>896297</v>
      </c>
      <c r="E51" s="421">
        <f t="shared" si="0"/>
        <v>1000000</v>
      </c>
      <c r="F51" s="289">
        <v>896297</v>
      </c>
      <c r="G51" s="379">
        <v>1000000</v>
      </c>
    </row>
    <row r="52" spans="1:7" x14ac:dyDescent="0.25">
      <c r="A52" s="320">
        <v>45</v>
      </c>
      <c r="B52" s="48" t="s">
        <v>318</v>
      </c>
      <c r="C52" s="111"/>
      <c r="D52" s="421">
        <f t="shared" si="0"/>
        <v>0</v>
      </c>
      <c r="E52" s="421">
        <f t="shared" si="0"/>
        <v>150000</v>
      </c>
      <c r="F52" s="289"/>
      <c r="G52" s="379">
        <v>150000</v>
      </c>
    </row>
    <row r="53" spans="1:7" x14ac:dyDescent="0.25">
      <c r="A53" s="394">
        <v>46</v>
      </c>
      <c r="B53" s="47" t="s">
        <v>319</v>
      </c>
      <c r="C53" s="50" t="s">
        <v>132</v>
      </c>
      <c r="D53" s="421"/>
      <c r="E53" s="421"/>
      <c r="F53" s="426"/>
      <c r="G53" s="388"/>
    </row>
    <row r="54" spans="1:7" x14ac:dyDescent="0.25">
      <c r="A54" s="320">
        <v>48</v>
      </c>
      <c r="B54" s="37" t="s">
        <v>321</v>
      </c>
      <c r="C54" s="111" t="s">
        <v>136</v>
      </c>
      <c r="D54" s="421">
        <f t="shared" si="0"/>
        <v>6496</v>
      </c>
      <c r="E54" s="421">
        <f t="shared" si="0"/>
        <v>0</v>
      </c>
      <c r="F54" s="289">
        <v>6496</v>
      </c>
      <c r="G54" s="379"/>
    </row>
    <row r="55" spans="1:7" x14ac:dyDescent="0.25">
      <c r="A55" s="805">
        <v>49</v>
      </c>
      <c r="B55" s="806" t="s">
        <v>550</v>
      </c>
      <c r="C55" s="807" t="s">
        <v>140</v>
      </c>
      <c r="D55" s="421">
        <f t="shared" si="0"/>
        <v>17716</v>
      </c>
      <c r="E55" s="421">
        <f t="shared" si="0"/>
        <v>100000</v>
      </c>
      <c r="F55" s="808">
        <v>17716</v>
      </c>
      <c r="G55" s="809">
        <v>100000</v>
      </c>
    </row>
    <row r="56" spans="1:7" x14ac:dyDescent="0.25">
      <c r="A56" s="320">
        <v>50</v>
      </c>
      <c r="B56" s="37" t="s">
        <v>322</v>
      </c>
      <c r="C56" s="111" t="s">
        <v>323</v>
      </c>
      <c r="D56" s="421">
        <f t="shared" si="0"/>
        <v>0</v>
      </c>
      <c r="E56" s="421">
        <f t="shared" si="0"/>
        <v>0</v>
      </c>
      <c r="F56" s="289"/>
      <c r="G56" s="379"/>
    </row>
    <row r="57" spans="1:7" s="44" customFormat="1" x14ac:dyDescent="0.25">
      <c r="A57" s="394">
        <v>51</v>
      </c>
      <c r="B57" s="47" t="s">
        <v>324</v>
      </c>
      <c r="C57" s="50" t="s">
        <v>143</v>
      </c>
      <c r="D57" s="421">
        <f t="shared" si="0"/>
        <v>5179442</v>
      </c>
      <c r="E57" s="421">
        <f t="shared" si="0"/>
        <v>4740000</v>
      </c>
      <c r="F57" s="426">
        <f t="shared" ref="F57:G57" si="12">SUM(F58:F60)</f>
        <v>5179442</v>
      </c>
      <c r="G57" s="426">
        <f t="shared" si="12"/>
        <v>4740000</v>
      </c>
    </row>
    <row r="58" spans="1:7" x14ac:dyDescent="0.25">
      <c r="A58" s="320">
        <v>52</v>
      </c>
      <c r="B58" s="45" t="s">
        <v>260</v>
      </c>
      <c r="C58" s="111"/>
      <c r="D58" s="421">
        <f t="shared" si="0"/>
        <v>0</v>
      </c>
      <c r="E58" s="421">
        <f t="shared" si="0"/>
        <v>0</v>
      </c>
      <c r="F58" s="289"/>
      <c r="G58" s="379"/>
    </row>
    <row r="59" spans="1:7" x14ac:dyDescent="0.25">
      <c r="A59" s="320">
        <v>53</v>
      </c>
      <c r="B59" s="45" t="s">
        <v>551</v>
      </c>
      <c r="C59" s="111"/>
      <c r="D59" s="421">
        <f t="shared" si="0"/>
        <v>0</v>
      </c>
      <c r="E59" s="421">
        <f t="shared" si="0"/>
        <v>180000</v>
      </c>
      <c r="F59" s="428"/>
      <c r="G59" s="385">
        <v>180000</v>
      </c>
    </row>
    <row r="60" spans="1:7" x14ac:dyDescent="0.25">
      <c r="A60" s="320">
        <v>54</v>
      </c>
      <c r="B60" s="45" t="s">
        <v>261</v>
      </c>
      <c r="C60" s="111"/>
      <c r="D60" s="421">
        <f t="shared" si="0"/>
        <v>5179442</v>
      </c>
      <c r="E60" s="421">
        <f t="shared" si="0"/>
        <v>4560000</v>
      </c>
      <c r="F60" s="289">
        <v>5179442</v>
      </c>
      <c r="G60" s="379">
        <v>4560000</v>
      </c>
    </row>
    <row r="61" spans="1:7" s="44" customFormat="1" x14ac:dyDescent="0.25">
      <c r="A61" s="394">
        <v>55</v>
      </c>
      <c r="B61" s="47" t="s">
        <v>325</v>
      </c>
      <c r="C61" s="50" t="s">
        <v>145</v>
      </c>
      <c r="D61" s="421">
        <f t="shared" si="0"/>
        <v>607815</v>
      </c>
      <c r="E61" s="421">
        <f t="shared" si="0"/>
        <v>1485000</v>
      </c>
      <c r="F61" s="426">
        <f t="shared" ref="F61:G61" si="13">SUM(F62:F66)</f>
        <v>607815</v>
      </c>
      <c r="G61" s="426">
        <f t="shared" si="13"/>
        <v>1485000</v>
      </c>
    </row>
    <row r="62" spans="1:7" x14ac:dyDescent="0.25">
      <c r="A62" s="320">
        <v>56</v>
      </c>
      <c r="B62" s="45" t="s">
        <v>326</v>
      </c>
      <c r="C62" s="111"/>
      <c r="D62" s="421">
        <f t="shared" si="0"/>
        <v>0</v>
      </c>
      <c r="E62" s="421">
        <f t="shared" si="0"/>
        <v>0</v>
      </c>
      <c r="F62" s="289"/>
      <c r="G62" s="379"/>
    </row>
    <row r="63" spans="1:7" x14ac:dyDescent="0.25">
      <c r="A63" s="320">
        <v>57</v>
      </c>
      <c r="B63" s="45" t="s">
        <v>327</v>
      </c>
      <c r="C63" s="111"/>
      <c r="D63" s="421">
        <f t="shared" si="0"/>
        <v>0</v>
      </c>
      <c r="E63" s="421">
        <f t="shared" si="0"/>
        <v>500000</v>
      </c>
      <c r="F63" s="289"/>
      <c r="G63" s="387">
        <v>500000</v>
      </c>
    </row>
    <row r="64" spans="1:7" x14ac:dyDescent="0.25">
      <c r="A64" s="320">
        <v>58</v>
      </c>
      <c r="B64" s="45" t="s">
        <v>758</v>
      </c>
      <c r="C64" s="111"/>
      <c r="D64" s="421">
        <f t="shared" si="0"/>
        <v>0</v>
      </c>
      <c r="E64" s="421">
        <f t="shared" si="0"/>
        <v>420000</v>
      </c>
      <c r="F64" s="289"/>
      <c r="G64" s="387">
        <v>420000</v>
      </c>
    </row>
    <row r="65" spans="1:7" x14ac:dyDescent="0.25">
      <c r="A65" s="320">
        <v>59</v>
      </c>
      <c r="B65" s="45" t="s">
        <v>761</v>
      </c>
      <c r="C65" s="111"/>
      <c r="D65" s="421">
        <f t="shared" si="0"/>
        <v>0</v>
      </c>
      <c r="E65" s="421">
        <f t="shared" si="0"/>
        <v>115000</v>
      </c>
      <c r="F65" s="289"/>
      <c r="G65" s="379">
        <v>115000</v>
      </c>
    </row>
    <row r="66" spans="1:7" ht="45" x14ac:dyDescent="0.25">
      <c r="A66" s="320">
        <v>60</v>
      </c>
      <c r="B66" s="45" t="s">
        <v>552</v>
      </c>
      <c r="C66" s="111"/>
      <c r="D66" s="421">
        <f t="shared" si="0"/>
        <v>607815</v>
      </c>
      <c r="E66" s="421">
        <f t="shared" si="0"/>
        <v>450000</v>
      </c>
      <c r="F66" s="289">
        <v>607815</v>
      </c>
      <c r="G66" s="379">
        <v>450000</v>
      </c>
    </row>
    <row r="67" spans="1:7" ht="15.75" x14ac:dyDescent="0.25">
      <c r="A67" s="800">
        <v>61</v>
      </c>
      <c r="B67" s="801" t="s">
        <v>148</v>
      </c>
      <c r="C67" s="802" t="s">
        <v>149</v>
      </c>
      <c r="D67" s="421">
        <f t="shared" si="0"/>
        <v>6707766</v>
      </c>
      <c r="E67" s="421">
        <f t="shared" si="0"/>
        <v>7775000</v>
      </c>
      <c r="F67" s="803">
        <f>SUM(F49,F53,F57,F61,F54,F55,F56)</f>
        <v>6707766</v>
      </c>
      <c r="G67" s="803">
        <f>SUM(G49,G53,G57,G61,G54,G55,G56)</f>
        <v>7775000</v>
      </c>
    </row>
    <row r="68" spans="1:7" x14ac:dyDescent="0.25">
      <c r="A68" s="320">
        <v>62</v>
      </c>
      <c r="B68" s="37" t="s">
        <v>328</v>
      </c>
      <c r="C68" s="111" t="s">
        <v>153</v>
      </c>
      <c r="D68" s="421">
        <f t="shared" si="0"/>
        <v>4772</v>
      </c>
      <c r="E68" s="421">
        <f t="shared" si="0"/>
        <v>0</v>
      </c>
      <c r="F68" s="289">
        <v>4772</v>
      </c>
      <c r="G68" s="379"/>
    </row>
    <row r="69" spans="1:7" x14ac:dyDescent="0.25">
      <c r="A69" s="320">
        <v>63</v>
      </c>
      <c r="B69" s="37" t="s">
        <v>329</v>
      </c>
      <c r="C69" s="111" t="s">
        <v>157</v>
      </c>
      <c r="D69" s="421">
        <f t="shared" si="0"/>
        <v>0</v>
      </c>
      <c r="E69" s="421">
        <f t="shared" si="0"/>
        <v>0</v>
      </c>
      <c r="F69" s="289"/>
      <c r="G69" s="379"/>
    </row>
    <row r="70" spans="1:7" x14ac:dyDescent="0.25">
      <c r="A70" s="796">
        <v>64</v>
      </c>
      <c r="B70" s="797" t="s">
        <v>158</v>
      </c>
      <c r="C70" s="798" t="s">
        <v>159</v>
      </c>
      <c r="D70" s="421">
        <f t="shared" si="0"/>
        <v>4772</v>
      </c>
      <c r="E70" s="421">
        <f t="shared" si="0"/>
        <v>0</v>
      </c>
      <c r="F70" s="799">
        <f t="shared" ref="F70:G70" si="14">SUM(F68:F69)</f>
        <v>4772</v>
      </c>
      <c r="G70" s="799">
        <f t="shared" si="14"/>
        <v>0</v>
      </c>
    </row>
    <row r="71" spans="1:7" ht="30" x14ac:dyDescent="0.25">
      <c r="A71" s="320">
        <v>65</v>
      </c>
      <c r="B71" s="37" t="s">
        <v>330</v>
      </c>
      <c r="C71" s="111" t="s">
        <v>163</v>
      </c>
      <c r="D71" s="421">
        <f t="shared" ref="D71:E100" si="15">SUM(,F71)</f>
        <v>868389</v>
      </c>
      <c r="E71" s="421">
        <f t="shared" si="15"/>
        <v>1021427</v>
      </c>
      <c r="F71" s="289">
        <v>868389</v>
      </c>
      <c r="G71" s="379">
        <v>1021427</v>
      </c>
    </row>
    <row r="72" spans="1:7" x14ac:dyDescent="0.25">
      <c r="A72" s="320">
        <v>66</v>
      </c>
      <c r="B72" s="37" t="s">
        <v>331</v>
      </c>
      <c r="C72" s="111" t="s">
        <v>167</v>
      </c>
      <c r="D72" s="421">
        <f t="shared" si="15"/>
        <v>0</v>
      </c>
      <c r="E72" s="421">
        <f t="shared" si="15"/>
        <v>0</v>
      </c>
      <c r="F72" s="289"/>
      <c r="G72" s="379"/>
    </row>
    <row r="73" spans="1:7" x14ac:dyDescent="0.25">
      <c r="A73" s="320">
        <v>67</v>
      </c>
      <c r="B73" s="37" t="s">
        <v>170</v>
      </c>
      <c r="C73" s="111" t="s">
        <v>171</v>
      </c>
      <c r="D73" s="421">
        <f t="shared" si="15"/>
        <v>0</v>
      </c>
      <c r="E73" s="421">
        <f t="shared" si="15"/>
        <v>0</v>
      </c>
      <c r="F73" s="289"/>
      <c r="G73" s="379"/>
    </row>
    <row r="74" spans="1:7" x14ac:dyDescent="0.25">
      <c r="A74" s="320">
        <v>68</v>
      </c>
      <c r="B74" s="37" t="s">
        <v>332</v>
      </c>
      <c r="C74" s="111" t="s">
        <v>333</v>
      </c>
      <c r="D74" s="421">
        <f t="shared" si="15"/>
        <v>0</v>
      </c>
      <c r="E74" s="421">
        <f t="shared" si="15"/>
        <v>0</v>
      </c>
      <c r="F74" s="289"/>
      <c r="G74" s="379"/>
    </row>
    <row r="75" spans="1:7" x14ac:dyDescent="0.25">
      <c r="A75" s="394">
        <v>69</v>
      </c>
      <c r="B75" s="47" t="s">
        <v>334</v>
      </c>
      <c r="C75" s="50" t="s">
        <v>175</v>
      </c>
      <c r="D75" s="421">
        <f t="shared" si="15"/>
        <v>87192</v>
      </c>
      <c r="E75" s="421">
        <f t="shared" si="15"/>
        <v>50000</v>
      </c>
      <c r="F75" s="426">
        <f t="shared" ref="F75:G75" si="16">SUM(F76:F80)</f>
        <v>87192</v>
      </c>
      <c r="G75" s="426">
        <f t="shared" si="16"/>
        <v>50000</v>
      </c>
    </row>
    <row r="76" spans="1:7" x14ac:dyDescent="0.25">
      <c r="A76" s="320">
        <v>70</v>
      </c>
      <c r="B76" s="45"/>
      <c r="C76" s="111"/>
      <c r="D76" s="421">
        <f t="shared" si="15"/>
        <v>0</v>
      </c>
      <c r="E76" s="421">
        <f t="shared" si="15"/>
        <v>0</v>
      </c>
      <c r="F76" s="289"/>
      <c r="G76" s="379"/>
    </row>
    <row r="77" spans="1:7" x14ac:dyDescent="0.25">
      <c r="A77" s="320">
        <v>71</v>
      </c>
      <c r="B77" s="45"/>
      <c r="C77" s="111"/>
      <c r="D77" s="421">
        <f t="shared" si="15"/>
        <v>0</v>
      </c>
      <c r="E77" s="421">
        <f t="shared" si="15"/>
        <v>0</v>
      </c>
      <c r="F77" s="289"/>
      <c r="G77" s="379"/>
    </row>
    <row r="78" spans="1:7" ht="30" x14ac:dyDescent="0.25">
      <c r="A78" s="320">
        <v>72</v>
      </c>
      <c r="B78" s="45" t="s">
        <v>335</v>
      </c>
      <c r="C78" s="111"/>
      <c r="D78" s="421">
        <f t="shared" si="15"/>
        <v>0</v>
      </c>
      <c r="E78" s="421">
        <f t="shared" si="15"/>
        <v>0</v>
      </c>
      <c r="F78" s="289"/>
      <c r="G78" s="379"/>
    </row>
    <row r="79" spans="1:7" x14ac:dyDescent="0.25">
      <c r="A79" s="320">
        <v>73</v>
      </c>
      <c r="B79" s="45" t="s">
        <v>336</v>
      </c>
      <c r="C79" s="111"/>
      <c r="D79" s="421">
        <f t="shared" si="15"/>
        <v>0</v>
      </c>
      <c r="E79" s="421">
        <f t="shared" si="15"/>
        <v>0</v>
      </c>
      <c r="F79" s="289"/>
      <c r="G79" s="379"/>
    </row>
    <row r="80" spans="1:7" x14ac:dyDescent="0.25">
      <c r="A80" s="320">
        <v>74</v>
      </c>
      <c r="B80" s="45" t="s">
        <v>337</v>
      </c>
      <c r="C80" s="111"/>
      <c r="D80" s="421">
        <f t="shared" si="15"/>
        <v>87192</v>
      </c>
      <c r="E80" s="421">
        <f t="shared" si="15"/>
        <v>50000</v>
      </c>
      <c r="F80" s="429">
        <v>87192</v>
      </c>
      <c r="G80" s="387">
        <v>50000</v>
      </c>
    </row>
    <row r="81" spans="1:53" x14ac:dyDescent="0.25">
      <c r="A81" s="796">
        <v>75</v>
      </c>
      <c r="B81" s="797" t="s">
        <v>338</v>
      </c>
      <c r="C81" s="798" t="s">
        <v>179</v>
      </c>
      <c r="D81" s="421">
        <f t="shared" si="15"/>
        <v>955581</v>
      </c>
      <c r="E81" s="421">
        <f t="shared" si="15"/>
        <v>1071427</v>
      </c>
      <c r="F81" s="799">
        <f t="shared" ref="F81:G81" si="17">SUM(F75,F74,F73,F72,F71)</f>
        <v>955581</v>
      </c>
      <c r="G81" s="799">
        <f t="shared" si="17"/>
        <v>1071427</v>
      </c>
    </row>
    <row r="82" spans="1:53" s="49" customFormat="1" ht="18.75" x14ac:dyDescent="0.3">
      <c r="A82" s="1060" t="s">
        <v>339</v>
      </c>
      <c r="B82" s="1061"/>
      <c r="C82" s="285" t="s">
        <v>181</v>
      </c>
      <c r="D82" s="421">
        <f t="shared" si="15"/>
        <v>10168823</v>
      </c>
      <c r="E82" s="421">
        <f t="shared" si="15"/>
        <v>10406427</v>
      </c>
      <c r="F82" s="430">
        <f>SUM(F81,F70,F67,F48,F40)</f>
        <v>10168823</v>
      </c>
      <c r="G82" s="430">
        <f t="shared" ref="G82" si="18">SUM(G81,G70,G67,G48,G40)</f>
        <v>10406427</v>
      </c>
      <c r="H82" s="377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</row>
    <row r="83" spans="1:53" x14ac:dyDescent="0.25">
      <c r="A83" s="394">
        <v>76</v>
      </c>
      <c r="B83" s="47" t="s">
        <v>193</v>
      </c>
      <c r="C83" s="50" t="s">
        <v>194</v>
      </c>
      <c r="D83" s="421">
        <f t="shared" si="15"/>
        <v>0</v>
      </c>
      <c r="E83" s="421">
        <f t="shared" si="15"/>
        <v>0</v>
      </c>
      <c r="F83" s="431">
        <f t="shared" ref="F83" si="19">SUM(F84)</f>
        <v>0</v>
      </c>
      <c r="G83" s="379"/>
      <c r="H83" s="374"/>
      <c r="I83" s="374"/>
      <c r="J83" s="374"/>
      <c r="K83" s="374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4"/>
      <c r="W83" s="374"/>
      <c r="X83" s="374"/>
      <c r="Y83" s="374"/>
      <c r="Z83" s="374"/>
      <c r="AA83" s="374"/>
      <c r="AB83" s="374"/>
      <c r="AC83" s="374"/>
      <c r="AD83" s="374"/>
      <c r="AE83" s="374"/>
      <c r="AF83" s="374"/>
      <c r="AG83" s="374"/>
      <c r="AH83" s="374"/>
      <c r="AI83" s="374"/>
      <c r="AJ83" s="374"/>
      <c r="AK83" s="374"/>
      <c r="AL83" s="374"/>
      <c r="AM83" s="374"/>
      <c r="AN83" s="374"/>
      <c r="AO83" s="374"/>
      <c r="AP83" s="374"/>
      <c r="AQ83" s="374"/>
      <c r="AR83" s="374"/>
      <c r="AS83" s="374"/>
      <c r="AT83" s="374"/>
      <c r="AU83" s="374"/>
      <c r="AV83" s="374"/>
      <c r="AW83" s="374"/>
      <c r="AX83" s="374"/>
      <c r="AY83" s="374"/>
      <c r="AZ83" s="374"/>
      <c r="BA83" s="374"/>
    </row>
    <row r="84" spans="1:53" x14ac:dyDescent="0.25">
      <c r="A84" s="320">
        <v>77</v>
      </c>
      <c r="B84" s="37"/>
      <c r="C84" s="111"/>
      <c r="D84" s="421">
        <f t="shared" si="15"/>
        <v>0</v>
      </c>
      <c r="E84" s="421">
        <f t="shared" si="15"/>
        <v>0</v>
      </c>
      <c r="F84" s="289"/>
      <c r="G84" s="379"/>
      <c r="H84" s="374"/>
      <c r="I84" s="374"/>
      <c r="J84" s="374"/>
      <c r="K84" s="374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4"/>
      <c r="W84" s="374"/>
      <c r="X84" s="374"/>
      <c r="Y84" s="374"/>
      <c r="Z84" s="374"/>
      <c r="AA84" s="374"/>
      <c r="AB84" s="374"/>
      <c r="AC84" s="374"/>
      <c r="AD84" s="374"/>
      <c r="AE84" s="374"/>
      <c r="AF84" s="374"/>
      <c r="AG84" s="374"/>
      <c r="AH84" s="374"/>
      <c r="AI84" s="374"/>
      <c r="AJ84" s="374"/>
      <c r="AK84" s="374"/>
      <c r="AL84" s="374"/>
      <c r="AM84" s="374"/>
      <c r="AN84" s="374"/>
      <c r="AO84" s="374"/>
      <c r="AP84" s="374"/>
      <c r="AQ84" s="374"/>
      <c r="AR84" s="374"/>
      <c r="AS84" s="374"/>
      <c r="AT84" s="374"/>
      <c r="AU84" s="374"/>
      <c r="AV84" s="374"/>
      <c r="AW84" s="374"/>
      <c r="AX84" s="374"/>
      <c r="AY84" s="374"/>
      <c r="AZ84" s="374"/>
      <c r="BA84" s="374"/>
    </row>
    <row r="85" spans="1:53" x14ac:dyDescent="0.25">
      <c r="A85" s="320">
        <v>78</v>
      </c>
      <c r="B85" s="37" t="s">
        <v>340</v>
      </c>
      <c r="C85" s="111" t="s">
        <v>196</v>
      </c>
      <c r="D85" s="421">
        <f t="shared" si="15"/>
        <v>0</v>
      </c>
      <c r="E85" s="421">
        <f t="shared" si="15"/>
        <v>0</v>
      </c>
      <c r="F85" s="289"/>
      <c r="G85" s="379"/>
      <c r="H85" s="374"/>
      <c r="I85" s="374"/>
      <c r="J85" s="374"/>
      <c r="K85" s="374"/>
      <c r="L85" s="374"/>
      <c r="M85" s="374"/>
      <c r="N85" s="374"/>
      <c r="O85" s="374"/>
      <c r="P85" s="374"/>
      <c r="Q85" s="374"/>
      <c r="R85" s="374"/>
      <c r="S85" s="374"/>
      <c r="T85" s="374"/>
      <c r="U85" s="374"/>
      <c r="V85" s="374"/>
      <c r="W85" s="374"/>
      <c r="X85" s="374"/>
      <c r="Y85" s="374"/>
      <c r="Z85" s="374"/>
      <c r="AA85" s="374"/>
      <c r="AB85" s="374"/>
      <c r="AC85" s="374"/>
      <c r="AD85" s="374"/>
      <c r="AE85" s="374"/>
      <c r="AF85" s="374"/>
      <c r="AG85" s="374"/>
      <c r="AH85" s="374"/>
      <c r="AI85" s="374"/>
      <c r="AJ85" s="374"/>
      <c r="AK85" s="374"/>
      <c r="AL85" s="374"/>
      <c r="AM85" s="374"/>
      <c r="AN85" s="374"/>
      <c r="AO85" s="374"/>
      <c r="AP85" s="374"/>
      <c r="AQ85" s="374"/>
      <c r="AR85" s="374"/>
      <c r="AS85" s="374"/>
      <c r="AT85" s="374"/>
      <c r="AU85" s="374"/>
      <c r="AV85" s="374"/>
      <c r="AW85" s="374"/>
      <c r="AX85" s="374"/>
      <c r="AY85" s="374"/>
      <c r="AZ85" s="374"/>
      <c r="BA85" s="374"/>
    </row>
    <row r="86" spans="1:53" s="51" customFormat="1" x14ac:dyDescent="0.25">
      <c r="A86" s="394">
        <v>79</v>
      </c>
      <c r="B86" s="47" t="s">
        <v>341</v>
      </c>
      <c r="C86" s="50" t="s">
        <v>198</v>
      </c>
      <c r="D86" s="421">
        <f t="shared" si="15"/>
        <v>441300</v>
      </c>
      <c r="E86" s="421">
        <f t="shared" si="15"/>
        <v>250000</v>
      </c>
      <c r="F86" s="431">
        <v>441300</v>
      </c>
      <c r="G86" s="432">
        <v>250000</v>
      </c>
      <c r="H86" s="375"/>
      <c r="I86" s="375"/>
      <c r="J86" s="375"/>
      <c r="K86" s="375"/>
      <c r="L86" s="375"/>
      <c r="M86" s="375"/>
      <c r="N86" s="375"/>
      <c r="O86" s="375"/>
      <c r="P86" s="375"/>
      <c r="Q86" s="375"/>
      <c r="R86" s="375"/>
      <c r="S86" s="375"/>
      <c r="T86" s="375"/>
      <c r="U86" s="375"/>
      <c r="V86" s="375"/>
      <c r="W86" s="375"/>
      <c r="X86" s="375"/>
      <c r="Y86" s="375"/>
      <c r="Z86" s="375"/>
      <c r="AA86" s="375"/>
      <c r="AB86" s="375"/>
      <c r="AC86" s="375"/>
      <c r="AD86" s="375"/>
      <c r="AE86" s="375"/>
      <c r="AF86" s="375"/>
      <c r="AG86" s="375"/>
      <c r="AH86" s="375"/>
      <c r="AI86" s="375"/>
      <c r="AJ86" s="375"/>
      <c r="AK86" s="375"/>
      <c r="AL86" s="375"/>
      <c r="AM86" s="375"/>
      <c r="AN86" s="375"/>
      <c r="AO86" s="375"/>
      <c r="AP86" s="375"/>
      <c r="AQ86" s="375"/>
      <c r="AR86" s="375"/>
      <c r="AS86" s="375"/>
      <c r="AT86" s="375"/>
      <c r="AU86" s="375"/>
      <c r="AV86" s="375"/>
      <c r="AW86" s="375"/>
      <c r="AX86" s="375"/>
      <c r="AY86" s="375"/>
      <c r="AZ86" s="375"/>
      <c r="BA86" s="375"/>
    </row>
    <row r="87" spans="1:53" s="51" customFormat="1" x14ac:dyDescent="0.25">
      <c r="A87" s="394">
        <v>86</v>
      </c>
      <c r="B87" s="47" t="s">
        <v>199</v>
      </c>
      <c r="C87" s="50" t="s">
        <v>200</v>
      </c>
      <c r="D87" s="421">
        <f t="shared" si="15"/>
        <v>36142</v>
      </c>
      <c r="E87" s="421">
        <f t="shared" si="15"/>
        <v>0</v>
      </c>
      <c r="F87" s="431">
        <f>F88</f>
        <v>36142</v>
      </c>
      <c r="G87" s="431">
        <f>G88</f>
        <v>0</v>
      </c>
      <c r="H87" s="375"/>
      <c r="I87" s="375"/>
      <c r="J87" s="375"/>
      <c r="K87" s="375"/>
      <c r="L87" s="375"/>
      <c r="M87" s="375"/>
      <c r="N87" s="375"/>
      <c r="O87" s="375"/>
      <c r="P87" s="375"/>
      <c r="Q87" s="375"/>
      <c r="R87" s="375"/>
      <c r="S87" s="375"/>
      <c r="T87" s="375"/>
      <c r="U87" s="375"/>
      <c r="V87" s="375"/>
      <c r="W87" s="375"/>
      <c r="X87" s="375"/>
      <c r="Y87" s="375"/>
      <c r="Z87" s="375"/>
      <c r="AA87" s="375"/>
      <c r="AB87" s="375"/>
      <c r="AC87" s="375"/>
      <c r="AD87" s="375"/>
      <c r="AE87" s="375"/>
      <c r="AF87" s="375"/>
      <c r="AG87" s="375"/>
      <c r="AH87" s="375"/>
      <c r="AI87" s="375"/>
      <c r="AJ87" s="375"/>
      <c r="AK87" s="375"/>
      <c r="AL87" s="375"/>
      <c r="AM87" s="375"/>
      <c r="AN87" s="375"/>
      <c r="AO87" s="375"/>
      <c r="AP87" s="375"/>
      <c r="AQ87" s="375"/>
      <c r="AR87" s="375"/>
      <c r="AS87" s="375"/>
      <c r="AT87" s="375"/>
      <c r="AU87" s="375"/>
      <c r="AV87" s="375"/>
      <c r="AW87" s="375"/>
      <c r="AX87" s="375"/>
      <c r="AY87" s="375"/>
      <c r="AZ87" s="375"/>
      <c r="BA87" s="375"/>
    </row>
    <row r="88" spans="1:53" s="253" customFormat="1" ht="29.25" customHeight="1" x14ac:dyDescent="0.25">
      <c r="A88" s="395"/>
      <c r="B88" s="252" t="s">
        <v>627</v>
      </c>
      <c r="C88" s="251"/>
      <c r="D88" s="421">
        <f t="shared" si="15"/>
        <v>36142</v>
      </c>
      <c r="E88" s="421">
        <f t="shared" si="15"/>
        <v>0</v>
      </c>
      <c r="F88" s="427">
        <v>36142</v>
      </c>
      <c r="G88" s="381"/>
      <c r="M88" s="375"/>
      <c r="N88" s="375"/>
      <c r="O88" s="375"/>
      <c r="P88" s="375"/>
      <c r="Q88" s="375"/>
      <c r="R88" s="375"/>
      <c r="S88" s="375"/>
      <c r="T88" s="375"/>
      <c r="U88" s="375"/>
      <c r="V88" s="375"/>
      <c r="W88" s="375"/>
      <c r="X88" s="375"/>
      <c r="Y88" s="375"/>
      <c r="Z88" s="375"/>
      <c r="AA88" s="375"/>
      <c r="AB88" s="375"/>
      <c r="AC88" s="375"/>
      <c r="AD88" s="375"/>
      <c r="AE88" s="375"/>
      <c r="AF88" s="375"/>
      <c r="AG88" s="375"/>
      <c r="AH88" s="375"/>
      <c r="AI88" s="375"/>
      <c r="AJ88" s="375"/>
      <c r="AK88" s="375"/>
      <c r="AL88" s="375"/>
      <c r="AM88" s="375"/>
      <c r="AN88" s="375"/>
      <c r="AO88" s="375"/>
      <c r="AP88" s="375"/>
      <c r="AQ88" s="375"/>
      <c r="AR88" s="375"/>
      <c r="AS88" s="375"/>
      <c r="AT88" s="375"/>
      <c r="AU88" s="375"/>
      <c r="AV88" s="375"/>
      <c r="AW88" s="375"/>
      <c r="AX88" s="375"/>
      <c r="AY88" s="375"/>
      <c r="AZ88" s="375"/>
      <c r="BA88" s="375"/>
    </row>
    <row r="89" spans="1:53" x14ac:dyDescent="0.25">
      <c r="A89" s="320">
        <v>91</v>
      </c>
      <c r="B89" s="37" t="s">
        <v>342</v>
      </c>
      <c r="C89" s="111" t="s">
        <v>343</v>
      </c>
      <c r="D89" s="421">
        <f t="shared" si="15"/>
        <v>0</v>
      </c>
      <c r="E89" s="421">
        <f t="shared" si="15"/>
        <v>0</v>
      </c>
      <c r="F89" s="289"/>
      <c r="G89" s="379"/>
      <c r="M89" s="374"/>
      <c r="N89" s="374"/>
      <c r="O89" s="374"/>
      <c r="P89" s="374"/>
      <c r="Q89" s="374"/>
      <c r="R89" s="374"/>
      <c r="S89" s="374"/>
      <c r="T89" s="374"/>
      <c r="U89" s="374"/>
      <c r="V89" s="374"/>
      <c r="W89" s="374"/>
      <c r="X89" s="374"/>
      <c r="Y89" s="374"/>
      <c r="Z89" s="374"/>
      <c r="AA89" s="374"/>
      <c r="AB89" s="374"/>
      <c r="AC89" s="374"/>
      <c r="AD89" s="374"/>
      <c r="AE89" s="374"/>
      <c r="AF89" s="374"/>
      <c r="AG89" s="374"/>
      <c r="AH89" s="374"/>
      <c r="AI89" s="374"/>
      <c r="AJ89" s="374"/>
      <c r="AK89" s="374"/>
      <c r="AL89" s="374"/>
      <c r="AM89" s="374"/>
      <c r="AN89" s="374"/>
      <c r="AO89" s="374"/>
      <c r="AP89" s="374"/>
      <c r="AQ89" s="374"/>
      <c r="AR89" s="374"/>
      <c r="AS89" s="374"/>
      <c r="AT89" s="374"/>
      <c r="AU89" s="374"/>
      <c r="AV89" s="374"/>
      <c r="AW89" s="374"/>
      <c r="AX89" s="374"/>
      <c r="AY89" s="374"/>
      <c r="AZ89" s="374"/>
      <c r="BA89" s="374"/>
    </row>
    <row r="90" spans="1:53" ht="30" x14ac:dyDescent="0.25">
      <c r="A90" s="320">
        <v>92</v>
      </c>
      <c r="B90" s="37" t="s">
        <v>344</v>
      </c>
      <c r="C90" s="111" t="s">
        <v>345</v>
      </c>
      <c r="D90" s="421">
        <f t="shared" si="15"/>
        <v>0</v>
      </c>
      <c r="E90" s="421">
        <f t="shared" si="15"/>
        <v>0</v>
      </c>
      <c r="F90" s="289"/>
      <c r="G90" s="379"/>
      <c r="M90" s="374"/>
      <c r="N90" s="374"/>
      <c r="O90" s="374"/>
      <c r="P90" s="374"/>
      <c r="Q90" s="374"/>
      <c r="R90" s="374"/>
      <c r="S90" s="374"/>
      <c r="T90" s="374"/>
      <c r="U90" s="374"/>
      <c r="V90" s="374"/>
      <c r="W90" s="374"/>
      <c r="X90" s="374"/>
      <c r="Y90" s="374"/>
      <c r="Z90" s="374"/>
      <c r="AA90" s="374"/>
      <c r="AB90" s="374"/>
      <c r="AC90" s="374"/>
      <c r="AD90" s="374"/>
      <c r="AE90" s="374"/>
      <c r="AF90" s="374"/>
      <c r="AG90" s="374"/>
      <c r="AH90" s="374"/>
      <c r="AI90" s="374"/>
      <c r="AJ90" s="374"/>
      <c r="AK90" s="374"/>
      <c r="AL90" s="374"/>
      <c r="AM90" s="374"/>
      <c r="AN90" s="374"/>
      <c r="AO90" s="374"/>
      <c r="AP90" s="374"/>
      <c r="AQ90" s="374"/>
      <c r="AR90" s="374"/>
      <c r="AS90" s="374"/>
      <c r="AT90" s="374"/>
      <c r="AU90" s="374"/>
      <c r="AV90" s="374"/>
      <c r="AW90" s="374"/>
      <c r="AX90" s="374"/>
      <c r="AY90" s="374"/>
      <c r="AZ90" s="374"/>
      <c r="BA90" s="374"/>
    </row>
    <row r="91" spans="1:53" ht="30" x14ac:dyDescent="0.25">
      <c r="A91" s="320">
        <v>93</v>
      </c>
      <c r="B91" s="37" t="s">
        <v>201</v>
      </c>
      <c r="C91" s="111" t="s">
        <v>202</v>
      </c>
      <c r="D91" s="421">
        <f t="shared" si="15"/>
        <v>128909</v>
      </c>
      <c r="E91" s="421">
        <f t="shared" si="15"/>
        <v>67500</v>
      </c>
      <c r="F91" s="289">
        <v>128909</v>
      </c>
      <c r="G91" s="379">
        <v>67500</v>
      </c>
      <c r="M91" s="374"/>
      <c r="N91" s="374"/>
      <c r="O91" s="374"/>
      <c r="P91" s="374"/>
      <c r="Q91" s="374"/>
      <c r="R91" s="374"/>
      <c r="S91" s="374"/>
      <c r="T91" s="374"/>
      <c r="U91" s="374"/>
      <c r="V91" s="374"/>
      <c r="W91" s="374"/>
      <c r="X91" s="374"/>
      <c r="Y91" s="374"/>
      <c r="Z91" s="374"/>
      <c r="AA91" s="374"/>
      <c r="AB91" s="374"/>
      <c r="AC91" s="374"/>
      <c r="AD91" s="374"/>
      <c r="AE91" s="374"/>
      <c r="AF91" s="374"/>
      <c r="AG91" s="374"/>
      <c r="AH91" s="374"/>
      <c r="AI91" s="374"/>
      <c r="AJ91" s="374"/>
      <c r="AK91" s="374"/>
      <c r="AL91" s="374"/>
      <c r="AM91" s="374"/>
      <c r="AN91" s="374"/>
      <c r="AO91" s="374"/>
      <c r="AP91" s="374"/>
      <c r="AQ91" s="374"/>
      <c r="AR91" s="374"/>
      <c r="AS91" s="374"/>
      <c r="AT91" s="374"/>
      <c r="AU91" s="374"/>
      <c r="AV91" s="374"/>
      <c r="AW91" s="374"/>
      <c r="AX91" s="374"/>
      <c r="AY91" s="374"/>
      <c r="AZ91" s="374"/>
      <c r="BA91" s="374"/>
    </row>
    <row r="92" spans="1:53" s="54" customFormat="1" ht="23.25" x14ac:dyDescent="0.35">
      <c r="A92" s="396">
        <v>94</v>
      </c>
      <c r="B92" s="53" t="s">
        <v>203</v>
      </c>
      <c r="C92" s="52" t="s">
        <v>204</v>
      </c>
      <c r="D92" s="421">
        <f t="shared" si="15"/>
        <v>606351</v>
      </c>
      <c r="E92" s="421">
        <f t="shared" si="15"/>
        <v>317500</v>
      </c>
      <c r="F92" s="433">
        <f>SUM(F91+F90+F89+F87+F86+F85+F83)</f>
        <v>606351</v>
      </c>
      <c r="G92" s="433">
        <f>SUM(G91+G90+G89+G87+G86+G85+G83)</f>
        <v>317500</v>
      </c>
      <c r="H92" s="378"/>
      <c r="I92" s="378"/>
      <c r="J92" s="378"/>
      <c r="K92" s="378"/>
      <c r="L92" s="378"/>
      <c r="M92" s="378"/>
      <c r="N92" s="378"/>
      <c r="O92" s="378"/>
      <c r="P92" s="378"/>
      <c r="Q92" s="378"/>
      <c r="R92" s="378"/>
      <c r="S92" s="378"/>
      <c r="T92" s="378"/>
      <c r="U92" s="378"/>
      <c r="V92" s="378"/>
      <c r="W92" s="378"/>
      <c r="X92" s="378"/>
      <c r="Y92" s="378"/>
      <c r="Z92" s="378"/>
      <c r="AA92" s="378"/>
      <c r="AB92" s="378"/>
      <c r="AC92" s="378"/>
      <c r="AD92" s="378"/>
      <c r="AE92" s="378"/>
      <c r="AF92" s="378"/>
      <c r="AG92" s="378"/>
      <c r="AH92" s="378"/>
      <c r="AI92" s="378"/>
      <c r="AJ92" s="378"/>
      <c r="AK92" s="378"/>
      <c r="AL92" s="378"/>
      <c r="AM92" s="378"/>
      <c r="AN92" s="378"/>
      <c r="AO92" s="378"/>
      <c r="AP92" s="378"/>
      <c r="AQ92" s="378"/>
      <c r="AR92" s="378"/>
      <c r="AS92" s="378"/>
      <c r="AT92" s="378"/>
      <c r="AU92" s="378"/>
      <c r="AV92" s="378"/>
      <c r="AW92" s="378"/>
      <c r="AX92" s="378"/>
      <c r="AY92" s="378"/>
      <c r="AZ92" s="378"/>
      <c r="BA92" s="378"/>
    </row>
    <row r="93" spans="1:53" x14ac:dyDescent="0.25">
      <c r="A93" s="320">
        <v>95</v>
      </c>
      <c r="B93" s="37" t="s">
        <v>205</v>
      </c>
      <c r="C93" s="111" t="s">
        <v>206</v>
      </c>
      <c r="D93" s="421">
        <f t="shared" si="15"/>
        <v>0</v>
      </c>
      <c r="E93" s="421">
        <f t="shared" si="15"/>
        <v>0</v>
      </c>
      <c r="F93" s="289"/>
      <c r="G93" s="379">
        <v>0</v>
      </c>
    </row>
    <row r="94" spans="1:53" s="194" customFormat="1" ht="18.75" customHeight="1" x14ac:dyDescent="0.25">
      <c r="A94" s="320"/>
      <c r="B94" s="37" t="s">
        <v>553</v>
      </c>
      <c r="C94" s="111"/>
      <c r="D94" s="421">
        <f t="shared" si="15"/>
        <v>0</v>
      </c>
      <c r="E94" s="421">
        <f t="shared" si="15"/>
        <v>0</v>
      </c>
      <c r="F94" s="289"/>
      <c r="G94" s="379">
        <v>0</v>
      </c>
    </row>
    <row r="95" spans="1:53" s="194" customFormat="1" ht="18" customHeight="1" x14ac:dyDescent="0.25">
      <c r="A95" s="320"/>
      <c r="B95" s="37" t="s">
        <v>554</v>
      </c>
      <c r="C95" s="111"/>
      <c r="D95" s="421">
        <f t="shared" si="15"/>
        <v>0</v>
      </c>
      <c r="E95" s="421">
        <f t="shared" si="15"/>
        <v>0</v>
      </c>
      <c r="F95" s="289"/>
      <c r="G95" s="379">
        <v>0</v>
      </c>
    </row>
    <row r="96" spans="1:53" s="194" customFormat="1" ht="15.75" customHeight="1" x14ac:dyDescent="0.25">
      <c r="A96" s="320"/>
      <c r="B96" s="37" t="s">
        <v>555</v>
      </c>
      <c r="C96" s="111"/>
      <c r="D96" s="421">
        <f t="shared" si="15"/>
        <v>0</v>
      </c>
      <c r="E96" s="421">
        <f t="shared" si="15"/>
        <v>0</v>
      </c>
      <c r="F96" s="289"/>
      <c r="G96" s="379">
        <v>0</v>
      </c>
    </row>
    <row r="97" spans="1:7" x14ac:dyDescent="0.25">
      <c r="A97" s="320">
        <v>96</v>
      </c>
      <c r="B97" s="37" t="s">
        <v>346</v>
      </c>
      <c r="C97" s="111" t="s">
        <v>347</v>
      </c>
      <c r="D97" s="421">
        <f t="shared" si="15"/>
        <v>0</v>
      </c>
      <c r="E97" s="421">
        <f t="shared" si="15"/>
        <v>0</v>
      </c>
      <c r="F97" s="289"/>
      <c r="G97" s="379">
        <v>0</v>
      </c>
    </row>
    <row r="98" spans="1:7" x14ac:dyDescent="0.25">
      <c r="A98" s="320">
        <v>97</v>
      </c>
      <c r="B98" s="37" t="s">
        <v>348</v>
      </c>
      <c r="C98" s="111" t="s">
        <v>349</v>
      </c>
      <c r="D98" s="421">
        <f t="shared" si="15"/>
        <v>0</v>
      </c>
      <c r="E98" s="421">
        <f t="shared" si="15"/>
        <v>0</v>
      </c>
      <c r="F98" s="289"/>
      <c r="G98" s="379">
        <v>0</v>
      </c>
    </row>
    <row r="99" spans="1:7" ht="30" x14ac:dyDescent="0.25">
      <c r="A99" s="320">
        <v>98</v>
      </c>
      <c r="B99" s="37" t="s">
        <v>350</v>
      </c>
      <c r="C99" s="111" t="s">
        <v>208</v>
      </c>
      <c r="D99" s="421">
        <f t="shared" si="15"/>
        <v>0</v>
      </c>
      <c r="E99" s="421">
        <f t="shared" si="15"/>
        <v>0</v>
      </c>
      <c r="F99" s="289"/>
      <c r="G99" s="379">
        <v>0</v>
      </c>
    </row>
    <row r="100" spans="1:7" x14ac:dyDescent="0.25">
      <c r="A100" s="320">
        <v>99</v>
      </c>
      <c r="B100" s="37" t="s">
        <v>351</v>
      </c>
      <c r="C100" s="111" t="s">
        <v>210</v>
      </c>
      <c r="D100" s="421">
        <f t="shared" si="15"/>
        <v>0</v>
      </c>
      <c r="E100" s="421">
        <f t="shared" si="15"/>
        <v>0</v>
      </c>
      <c r="F100" s="289">
        <f>SUM(F93,F97,F98,F99)</f>
        <v>0</v>
      </c>
      <c r="G100" s="379">
        <v>0</v>
      </c>
    </row>
    <row r="101" spans="1:7" ht="23.25" x14ac:dyDescent="0.35">
      <c r="A101" s="397">
        <v>100</v>
      </c>
      <c r="B101" s="286" t="s">
        <v>352</v>
      </c>
      <c r="C101" s="287" t="s">
        <v>353</v>
      </c>
      <c r="D101" s="56">
        <f>SUM(D100,D92,D82,D27)</f>
        <v>41085908</v>
      </c>
      <c r="E101" s="56">
        <f t="shared" ref="E101:F101" si="20">SUM(E100,E92,E82,E27)</f>
        <v>43482627</v>
      </c>
      <c r="F101" s="56">
        <f t="shared" si="20"/>
        <v>41085908</v>
      </c>
      <c r="G101" s="56">
        <f>SUM(G100,G92,G82,G27)</f>
        <v>43482627</v>
      </c>
    </row>
    <row r="102" spans="1:7" ht="21" x14ac:dyDescent="0.35">
      <c r="A102" s="1020" t="s">
        <v>354</v>
      </c>
      <c r="B102" s="1021"/>
      <c r="C102" s="1021"/>
      <c r="D102" s="1021"/>
      <c r="E102" s="1021"/>
      <c r="F102" s="1021"/>
      <c r="G102" s="382"/>
    </row>
    <row r="103" spans="1:7" s="116" customFormat="1" ht="15.75" x14ac:dyDescent="0.25">
      <c r="A103" s="389">
        <v>101</v>
      </c>
      <c r="B103" s="288" t="s">
        <v>397</v>
      </c>
      <c r="C103" s="288" t="s">
        <v>155</v>
      </c>
      <c r="D103" s="421">
        <f>SUM(,F103,)</f>
        <v>557741</v>
      </c>
      <c r="E103" s="421">
        <f>SUM(,G103,)</f>
        <v>300000</v>
      </c>
      <c r="F103" s="435">
        <v>557741</v>
      </c>
      <c r="G103" s="386">
        <v>300000</v>
      </c>
    </row>
    <row r="104" spans="1:7" s="116" customFormat="1" ht="15.75" x14ac:dyDescent="0.25">
      <c r="A104" s="389"/>
      <c r="B104" s="288" t="s">
        <v>403</v>
      </c>
      <c r="C104" s="288" t="s">
        <v>404</v>
      </c>
      <c r="D104" s="421">
        <f t="shared" ref="D104:E107" si="21">SUM(,F104,)</f>
        <v>847725</v>
      </c>
      <c r="E104" s="421">
        <f t="shared" si="21"/>
        <v>587127</v>
      </c>
      <c r="F104" s="435">
        <v>847725</v>
      </c>
      <c r="G104" s="386">
        <v>587127</v>
      </c>
    </row>
    <row r="105" spans="1:7" x14ac:dyDescent="0.25">
      <c r="A105" s="320">
        <v>102</v>
      </c>
      <c r="B105" s="96" t="s">
        <v>355</v>
      </c>
      <c r="C105" s="97" t="s">
        <v>356</v>
      </c>
      <c r="D105" s="728">
        <f t="shared" si="21"/>
        <v>39680442</v>
      </c>
      <c r="E105" s="728">
        <f t="shared" si="21"/>
        <v>42595500</v>
      </c>
      <c r="F105" s="729">
        <f>SUM(F106:F107)</f>
        <v>39680442</v>
      </c>
      <c r="G105" s="729">
        <f>SUM(G106:G107)</f>
        <v>42595500</v>
      </c>
    </row>
    <row r="106" spans="1:7" x14ac:dyDescent="0.25">
      <c r="A106" s="320">
        <v>103</v>
      </c>
      <c r="B106" s="39" t="s">
        <v>395</v>
      </c>
      <c r="C106" s="55"/>
      <c r="D106" s="421">
        <f t="shared" si="21"/>
        <v>40483667</v>
      </c>
      <c r="E106" s="421">
        <f t="shared" si="21"/>
        <v>42595500</v>
      </c>
      <c r="F106" s="429">
        <v>40483667</v>
      </c>
      <c r="G106" s="313">
        <f>'3mell-Normatíva'!G12</f>
        <v>42595500</v>
      </c>
    </row>
    <row r="107" spans="1:7" ht="64.5" customHeight="1" x14ac:dyDescent="0.25">
      <c r="A107" s="320">
        <v>104</v>
      </c>
      <c r="B107" s="39" t="s">
        <v>396</v>
      </c>
      <c r="C107" s="55"/>
      <c r="D107" s="421">
        <f t="shared" si="21"/>
        <v>-803225</v>
      </c>
      <c r="E107" s="421">
        <f t="shared" si="21"/>
        <v>0</v>
      </c>
      <c r="F107" s="429">
        <f>F101-F103-F104-F106</f>
        <v>-803225</v>
      </c>
      <c r="G107" s="429">
        <f>G101-G103-G104-G106</f>
        <v>0</v>
      </c>
    </row>
    <row r="108" spans="1:7" ht="24" thickBot="1" x14ac:dyDescent="0.4">
      <c r="A108" s="1022" t="s">
        <v>357</v>
      </c>
      <c r="B108" s="1023"/>
      <c r="C108" s="1023"/>
      <c r="D108" s="434">
        <f>SUM(D103:D105)</f>
        <v>41085908</v>
      </c>
      <c r="E108" s="434">
        <f>SUM(E103:E105)</f>
        <v>43482627</v>
      </c>
      <c r="F108" s="434">
        <f>SUM(F103:F105)</f>
        <v>41085908</v>
      </c>
      <c r="G108" s="434">
        <f>SUM(G103:G105)</f>
        <v>43482627</v>
      </c>
    </row>
    <row r="109" spans="1:7" x14ac:dyDescent="0.25">
      <c r="B109" s="34" t="s">
        <v>241</v>
      </c>
      <c r="D109" s="58">
        <f>D108-D101</f>
        <v>0</v>
      </c>
      <c r="E109" s="58">
        <f>E108-E101</f>
        <v>0</v>
      </c>
      <c r="F109" s="58">
        <f>F108-F101</f>
        <v>0</v>
      </c>
      <c r="G109" s="58">
        <f>G108-G101</f>
        <v>0</v>
      </c>
    </row>
    <row r="113" spans="3:3" x14ac:dyDescent="0.25">
      <c r="C113" s="150"/>
    </row>
    <row r="114" spans="3:3" x14ac:dyDescent="0.25">
      <c r="C114" s="150"/>
    </row>
    <row r="115" spans="3:3" x14ac:dyDescent="0.25">
      <c r="C115" s="150"/>
    </row>
    <row r="116" spans="3:3" x14ac:dyDescent="0.25">
      <c r="C116" s="150"/>
    </row>
  </sheetData>
  <mergeCells count="15">
    <mergeCell ref="A1:I1"/>
    <mergeCell ref="A108:C108"/>
    <mergeCell ref="A2:F2"/>
    <mergeCell ref="D5:D6"/>
    <mergeCell ref="F5:F6"/>
    <mergeCell ref="A27:C27"/>
    <mergeCell ref="A82:B82"/>
    <mergeCell ref="A102:F102"/>
    <mergeCell ref="D4:E4"/>
    <mergeCell ref="E5:E6"/>
    <mergeCell ref="F4:G4"/>
    <mergeCell ref="G5:G6"/>
    <mergeCell ref="A4:A6"/>
    <mergeCell ref="B4:B6"/>
    <mergeCell ref="C4:C6"/>
  </mergeCells>
  <pageMargins left="0.70866141732283472" right="0.70866141732283472" top="0.74803149606299213" bottom="0.74803149606299213" header="0.31496062992125984" footer="0.31496062992125984"/>
  <pageSetup paperSize="8" scale="5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workbookViewId="0">
      <selection sqref="A1:I1"/>
    </sheetView>
  </sheetViews>
  <sheetFormatPr defaultRowHeight="15" x14ac:dyDescent="0.25"/>
  <cols>
    <col min="1" max="1" width="29.140625" customWidth="1"/>
    <col min="2" max="3" width="14.5703125" customWidth="1"/>
    <col min="4" max="4" width="15.140625" customWidth="1"/>
    <col min="5" max="5" width="14" customWidth="1"/>
    <col min="6" max="6" width="15.85546875" customWidth="1"/>
    <col min="7" max="7" width="17.28515625" customWidth="1"/>
    <col min="8" max="8" width="15.140625" customWidth="1"/>
    <col min="9" max="9" width="16" customWidth="1"/>
    <col min="10" max="10" width="14.140625" customWidth="1"/>
    <col min="11" max="11" width="15.7109375" customWidth="1"/>
    <col min="12" max="12" width="17.28515625" customWidth="1"/>
    <col min="13" max="13" width="16.42578125" customWidth="1"/>
    <col min="14" max="14" width="15.85546875" customWidth="1"/>
  </cols>
  <sheetData>
    <row r="1" spans="1:14" ht="15" customHeight="1" x14ac:dyDescent="0.25">
      <c r="A1" s="976" t="s">
        <v>762</v>
      </c>
      <c r="B1" s="976"/>
      <c r="C1" s="976"/>
      <c r="D1" s="976"/>
      <c r="E1" s="976"/>
      <c r="F1" s="976"/>
      <c r="G1" s="976"/>
      <c r="H1" s="976"/>
      <c r="I1" s="976"/>
      <c r="J1" s="194"/>
      <c r="K1" s="194"/>
      <c r="L1" s="194"/>
      <c r="M1" s="194"/>
      <c r="N1" s="194"/>
    </row>
    <row r="2" spans="1:14" x14ac:dyDescent="0.25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4" x14ac:dyDescent="0.25">
      <c r="A3" s="194"/>
      <c r="B3" s="936" t="s">
        <v>709</v>
      </c>
      <c r="C3" s="936"/>
      <c r="D3" s="936"/>
      <c r="E3" s="936"/>
      <c r="F3" s="936"/>
      <c r="G3" s="936"/>
      <c r="H3" s="936"/>
      <c r="I3" s="936"/>
      <c r="J3" s="936"/>
      <c r="K3" s="936"/>
      <c r="L3" s="194"/>
      <c r="M3" s="194"/>
      <c r="N3" s="194"/>
    </row>
    <row r="4" spans="1:14" ht="15.75" thickBot="1" x14ac:dyDescent="0.3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 t="s">
        <v>388</v>
      </c>
    </row>
    <row r="5" spans="1:14" x14ac:dyDescent="0.25">
      <c r="A5" s="195" t="s">
        <v>406</v>
      </c>
      <c r="B5" s="196" t="s">
        <v>452</v>
      </c>
      <c r="C5" s="196" t="s">
        <v>453</v>
      </c>
      <c r="D5" s="196" t="s">
        <v>454</v>
      </c>
      <c r="E5" s="196" t="s">
        <v>455</v>
      </c>
      <c r="F5" s="196" t="s">
        <v>456</v>
      </c>
      <c r="G5" s="196" t="s">
        <v>457</v>
      </c>
      <c r="H5" s="196" t="s">
        <v>458</v>
      </c>
      <c r="I5" s="196" t="s">
        <v>459</v>
      </c>
      <c r="J5" s="196" t="s">
        <v>460</v>
      </c>
      <c r="K5" s="196" t="s">
        <v>461</v>
      </c>
      <c r="L5" s="196" t="s">
        <v>462</v>
      </c>
      <c r="M5" s="196" t="s">
        <v>463</v>
      </c>
      <c r="N5" s="197" t="s">
        <v>464</v>
      </c>
    </row>
    <row r="6" spans="1:14" x14ac:dyDescent="0.25">
      <c r="A6" s="1076" t="s">
        <v>465</v>
      </c>
      <c r="B6" s="1077"/>
      <c r="C6" s="1077"/>
      <c r="D6" s="1077"/>
      <c r="E6" s="1077"/>
      <c r="F6" s="1077"/>
      <c r="G6" s="1077"/>
      <c r="H6" s="1077"/>
      <c r="I6" s="1077"/>
      <c r="J6" s="1077"/>
      <c r="K6" s="1077"/>
      <c r="L6" s="1077"/>
      <c r="M6" s="1077"/>
      <c r="N6" s="1078"/>
    </row>
    <row r="7" spans="1:14" x14ac:dyDescent="0.25">
      <c r="A7" s="1073" t="s">
        <v>466</v>
      </c>
      <c r="B7" s="1074"/>
      <c r="C7" s="1074"/>
      <c r="D7" s="1074"/>
      <c r="E7" s="1074"/>
      <c r="F7" s="1074"/>
      <c r="G7" s="1074"/>
      <c r="H7" s="1074"/>
      <c r="I7" s="1074"/>
      <c r="J7" s="1074"/>
      <c r="K7" s="1074"/>
      <c r="L7" s="1074"/>
      <c r="M7" s="1074"/>
      <c r="N7" s="1075"/>
    </row>
    <row r="8" spans="1:14" ht="26.25" x14ac:dyDescent="0.25">
      <c r="A8" s="198" t="s">
        <v>467</v>
      </c>
      <c r="B8" s="199">
        <f>'2.melléklet Önkormányzat mérleg'!D17/12</f>
        <v>22451124.916666668</v>
      </c>
      <c r="C8" s="199">
        <f>B8</f>
        <v>22451124.916666668</v>
      </c>
      <c r="D8" s="199">
        <f t="shared" ref="D8:M8" si="0">C8</f>
        <v>22451124.916666668</v>
      </c>
      <c r="E8" s="199">
        <f t="shared" si="0"/>
        <v>22451124.916666668</v>
      </c>
      <c r="F8" s="199">
        <f t="shared" si="0"/>
        <v>22451124.916666668</v>
      </c>
      <c r="G8" s="199">
        <f t="shared" si="0"/>
        <v>22451124.916666668</v>
      </c>
      <c r="H8" s="199">
        <f t="shared" si="0"/>
        <v>22451124.916666668</v>
      </c>
      <c r="I8" s="199">
        <f t="shared" si="0"/>
        <v>22451124.916666668</v>
      </c>
      <c r="J8" s="199">
        <f t="shared" si="0"/>
        <v>22451124.916666668</v>
      </c>
      <c r="K8" s="199">
        <f t="shared" si="0"/>
        <v>22451124.916666668</v>
      </c>
      <c r="L8" s="199">
        <f t="shared" si="0"/>
        <v>22451124.916666668</v>
      </c>
      <c r="M8" s="199">
        <f t="shared" si="0"/>
        <v>22451124.916666668</v>
      </c>
      <c r="N8" s="174">
        <f>SUM(B8:M8)</f>
        <v>269413498.99999994</v>
      </c>
    </row>
    <row r="9" spans="1:14" ht="26.25" x14ac:dyDescent="0.25">
      <c r="A9" s="198" t="s">
        <v>468</v>
      </c>
      <c r="B9" s="201">
        <f>'1.melléklÖnkormányzati összesen'!H19/6</f>
        <v>31861072.333333332</v>
      </c>
      <c r="C9" s="201">
        <f>B9</f>
        <v>31861072.333333332</v>
      </c>
      <c r="D9" s="201">
        <f t="shared" ref="D9:F9" si="1">C9</f>
        <v>31861072.333333332</v>
      </c>
      <c r="E9" s="201">
        <f t="shared" si="1"/>
        <v>31861072.333333332</v>
      </c>
      <c r="F9" s="201">
        <f t="shared" si="1"/>
        <v>31861072.333333332</v>
      </c>
      <c r="G9" s="201">
        <f>F9</f>
        <v>31861072.333333332</v>
      </c>
      <c r="H9" s="201"/>
      <c r="I9" s="201"/>
      <c r="J9" s="201"/>
      <c r="K9" s="200"/>
      <c r="L9" s="200"/>
      <c r="M9" s="200"/>
      <c r="N9" s="174">
        <f t="shared" ref="N9" si="2">SUM(B9:M9)</f>
        <v>191166434</v>
      </c>
    </row>
    <row r="10" spans="1:14" x14ac:dyDescent="0.25">
      <c r="A10" s="198" t="s">
        <v>469</v>
      </c>
      <c r="B10" s="199">
        <f>'1.melléklÖnkormányzati összesen'!F23/12</f>
        <v>13272412.872500001</v>
      </c>
      <c r="C10" s="199">
        <f>B10</f>
        <v>13272412.872500001</v>
      </c>
      <c r="D10" s="199">
        <f t="shared" ref="D10:M10" si="3">C10</f>
        <v>13272412.872500001</v>
      </c>
      <c r="E10" s="199">
        <f t="shared" si="3"/>
        <v>13272412.872500001</v>
      </c>
      <c r="F10" s="199">
        <f t="shared" si="3"/>
        <v>13272412.872500001</v>
      </c>
      <c r="G10" s="199">
        <f t="shared" si="3"/>
        <v>13272412.872500001</v>
      </c>
      <c r="H10" s="199">
        <f t="shared" si="3"/>
        <v>13272412.872500001</v>
      </c>
      <c r="I10" s="199">
        <f t="shared" si="3"/>
        <v>13272412.872500001</v>
      </c>
      <c r="J10" s="199">
        <f t="shared" si="3"/>
        <v>13272412.872500001</v>
      </c>
      <c r="K10" s="199">
        <f t="shared" si="3"/>
        <v>13272412.872500001</v>
      </c>
      <c r="L10" s="199">
        <f t="shared" si="3"/>
        <v>13272412.872500001</v>
      </c>
      <c r="M10" s="199">
        <f t="shared" si="3"/>
        <v>13272412.872500001</v>
      </c>
      <c r="N10" s="174">
        <f>SUM(B10:M10)</f>
        <v>159268954.47</v>
      </c>
    </row>
    <row r="11" spans="1:14" x14ac:dyDescent="0.25">
      <c r="A11" s="202" t="s">
        <v>470</v>
      </c>
      <c r="B11" s="203">
        <f>SUM(B8:B10)</f>
        <v>67584610.122500002</v>
      </c>
      <c r="C11" s="203">
        <f t="shared" ref="C11:N11" si="4">SUM(C8:C10)</f>
        <v>67584610.122500002</v>
      </c>
      <c r="D11" s="203">
        <f t="shared" si="4"/>
        <v>67584610.122500002</v>
      </c>
      <c r="E11" s="203">
        <f t="shared" si="4"/>
        <v>67584610.122500002</v>
      </c>
      <c r="F11" s="203">
        <f t="shared" si="4"/>
        <v>67584610.122500002</v>
      </c>
      <c r="G11" s="203">
        <f t="shared" si="4"/>
        <v>67584610.122500002</v>
      </c>
      <c r="H11" s="203">
        <f t="shared" si="4"/>
        <v>35723537.789166667</v>
      </c>
      <c r="I11" s="203">
        <f t="shared" si="4"/>
        <v>35723537.789166667</v>
      </c>
      <c r="J11" s="203">
        <f t="shared" si="4"/>
        <v>35723537.789166667</v>
      </c>
      <c r="K11" s="203">
        <f t="shared" si="4"/>
        <v>35723537.789166667</v>
      </c>
      <c r="L11" s="203">
        <f t="shared" si="4"/>
        <v>35723537.789166667</v>
      </c>
      <c r="M11" s="203">
        <f t="shared" si="4"/>
        <v>35723537.789166667</v>
      </c>
      <c r="N11" s="203">
        <f t="shared" si="4"/>
        <v>619848887.46999991</v>
      </c>
    </row>
    <row r="12" spans="1:14" x14ac:dyDescent="0.25">
      <c r="A12" s="1076" t="s">
        <v>471</v>
      </c>
      <c r="B12" s="1077"/>
      <c r="C12" s="1077"/>
      <c r="D12" s="1077"/>
      <c r="E12" s="1077"/>
      <c r="F12" s="1077"/>
      <c r="G12" s="1077"/>
      <c r="H12" s="1077"/>
      <c r="I12" s="1077"/>
      <c r="J12" s="1077"/>
      <c r="K12" s="1077"/>
      <c r="L12" s="1077"/>
      <c r="M12" s="1077"/>
      <c r="N12" s="1078"/>
    </row>
    <row r="13" spans="1:14" x14ac:dyDescent="0.25">
      <c r="A13" s="1073" t="s">
        <v>472</v>
      </c>
      <c r="B13" s="1074"/>
      <c r="C13" s="1074"/>
      <c r="D13" s="1074"/>
      <c r="E13" s="1074"/>
      <c r="F13" s="1074"/>
      <c r="G13" s="1074"/>
      <c r="H13" s="1074"/>
      <c r="I13" s="1074"/>
      <c r="J13" s="1074"/>
      <c r="K13" s="1074"/>
      <c r="L13" s="1074"/>
      <c r="M13" s="1074"/>
      <c r="N13" s="1075"/>
    </row>
    <row r="14" spans="1:14" x14ac:dyDescent="0.25">
      <c r="A14" s="198" t="s">
        <v>473</v>
      </c>
      <c r="B14" s="199">
        <f>SUM('1.melléklÖnkormányzati összesen'!P9:P13)/12-589938</f>
        <v>23614966.719999999</v>
      </c>
      <c r="C14" s="199">
        <f>B14</f>
        <v>23614966.719999999</v>
      </c>
      <c r="D14" s="199">
        <f t="shared" ref="D14:I14" si="5">C14</f>
        <v>23614966.719999999</v>
      </c>
      <c r="E14" s="199">
        <f t="shared" si="5"/>
        <v>23614966.719999999</v>
      </c>
      <c r="F14" s="199">
        <f t="shared" si="5"/>
        <v>23614966.719999999</v>
      </c>
      <c r="G14" s="199">
        <f>F14</f>
        <v>23614966.719999999</v>
      </c>
      <c r="H14" s="199">
        <f t="shared" si="5"/>
        <v>23614966.719999999</v>
      </c>
      <c r="I14" s="199">
        <f t="shared" si="5"/>
        <v>23614966.719999999</v>
      </c>
      <c r="J14" s="199">
        <f t="shared" ref="J14" si="6">I14</f>
        <v>23614966.719999999</v>
      </c>
      <c r="K14" s="199">
        <f t="shared" ref="K14" si="7">J14</f>
        <v>23614966.719999999</v>
      </c>
      <c r="L14" s="199">
        <f t="shared" ref="L14" si="8">K14</f>
        <v>23614966.719999999</v>
      </c>
      <c r="M14" s="199">
        <f>L14+2+1079254</f>
        <v>24694222.719999999</v>
      </c>
      <c r="N14" s="174">
        <f>SUM(B14:M14)</f>
        <v>284458856.63999999</v>
      </c>
    </row>
    <row r="15" spans="1:14" x14ac:dyDescent="0.25">
      <c r="A15" s="198" t="s">
        <v>474</v>
      </c>
      <c r="B15" s="201"/>
      <c r="C15" s="201"/>
      <c r="D15" s="201"/>
      <c r="E15" s="199"/>
      <c r="F15" s="199"/>
      <c r="G15" s="199">
        <f>'1.melléklÖnkormányzati összesen'!P14+'1.melléklÖnkormányzati összesen'!P15</f>
        <v>169140102</v>
      </c>
      <c r="H15" s="199"/>
      <c r="I15" s="201"/>
      <c r="J15" s="201">
        <f>H15</f>
        <v>0</v>
      </c>
      <c r="K15" s="200"/>
      <c r="L15" s="200"/>
      <c r="M15" s="200"/>
      <c r="N15" s="174">
        <f t="shared" ref="N15:N21" si="9">SUM(B15:M15)</f>
        <v>169140102</v>
      </c>
    </row>
    <row r="16" spans="1:14" x14ac:dyDescent="0.25">
      <c r="A16" s="198" t="s">
        <v>475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0"/>
      <c r="L16" s="200"/>
      <c r="M16" s="200"/>
      <c r="N16" s="174">
        <f t="shared" si="9"/>
        <v>0</v>
      </c>
    </row>
    <row r="17" spans="1:14" x14ac:dyDescent="0.25">
      <c r="A17" s="198" t="s">
        <v>355</v>
      </c>
      <c r="B17" s="201">
        <f>B10</f>
        <v>13272412.872500001</v>
      </c>
      <c r="C17" s="201">
        <f t="shared" ref="C17:M17" si="10">C10</f>
        <v>13272412.872500001</v>
      </c>
      <c r="D17" s="201">
        <f t="shared" si="10"/>
        <v>13272412.872500001</v>
      </c>
      <c r="E17" s="201">
        <f t="shared" si="10"/>
        <v>13272412.872500001</v>
      </c>
      <c r="F17" s="201">
        <f t="shared" si="10"/>
        <v>13272412.872500001</v>
      </c>
      <c r="G17" s="201">
        <f t="shared" si="10"/>
        <v>13272412.872500001</v>
      </c>
      <c r="H17" s="201">
        <f t="shared" si="10"/>
        <v>13272412.872500001</v>
      </c>
      <c r="I17" s="201">
        <f t="shared" si="10"/>
        <v>13272412.872500001</v>
      </c>
      <c r="J17" s="201">
        <f t="shared" si="10"/>
        <v>13272412.872500001</v>
      </c>
      <c r="K17" s="201">
        <f t="shared" si="10"/>
        <v>13272412.872500001</v>
      </c>
      <c r="L17" s="201">
        <f t="shared" si="10"/>
        <v>13272412.872500001</v>
      </c>
      <c r="M17" s="201">
        <f t="shared" si="10"/>
        <v>13272412.872500001</v>
      </c>
      <c r="N17" s="174">
        <f t="shared" si="9"/>
        <v>159268954.47</v>
      </c>
    </row>
    <row r="18" spans="1:14" x14ac:dyDescent="0.25">
      <c r="A18" s="198" t="s">
        <v>409</v>
      </c>
      <c r="B18" s="201">
        <f>'1.melléklÖnkormányzati összesen'!P19</f>
        <v>8280974</v>
      </c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174">
        <f t="shared" si="9"/>
        <v>8280974</v>
      </c>
    </row>
    <row r="19" spans="1:14" x14ac:dyDescent="0.25">
      <c r="A19" s="202" t="s">
        <v>476</v>
      </c>
      <c r="B19" s="203">
        <f>SUM(B14:B18)</f>
        <v>45168353.592500001</v>
      </c>
      <c r="C19" s="203">
        <f t="shared" ref="C19:M19" si="11">SUM(C14:C18)</f>
        <v>36887379.592500001</v>
      </c>
      <c r="D19" s="203">
        <f t="shared" si="11"/>
        <v>36887379.592500001</v>
      </c>
      <c r="E19" s="203">
        <f t="shared" si="11"/>
        <v>36887379.592500001</v>
      </c>
      <c r="F19" s="203">
        <f t="shared" si="11"/>
        <v>36887379.592500001</v>
      </c>
      <c r="G19" s="203">
        <f t="shared" si="11"/>
        <v>206027481.5925</v>
      </c>
      <c r="H19" s="203">
        <f t="shared" si="11"/>
        <v>36887379.592500001</v>
      </c>
      <c r="I19" s="203">
        <f t="shared" si="11"/>
        <v>36887379.592500001</v>
      </c>
      <c r="J19" s="203">
        <f t="shared" si="11"/>
        <v>36887379.592500001</v>
      </c>
      <c r="K19" s="203">
        <f t="shared" si="11"/>
        <v>36887379.592500001</v>
      </c>
      <c r="L19" s="203">
        <f t="shared" si="11"/>
        <v>36887379.592500001</v>
      </c>
      <c r="M19" s="203">
        <f t="shared" si="11"/>
        <v>37966635.592500001</v>
      </c>
      <c r="N19" s="203">
        <f>SUM(N14:N18)</f>
        <v>621148887.11000001</v>
      </c>
    </row>
    <row r="20" spans="1:14" x14ac:dyDescent="0.25">
      <c r="A20" s="204" t="s">
        <v>477</v>
      </c>
      <c r="B20" s="205">
        <f>B19</f>
        <v>45168353.592500001</v>
      </c>
      <c r="C20" s="205">
        <f t="shared" ref="C20:M20" si="12">C19</f>
        <v>36887379.592500001</v>
      </c>
      <c r="D20" s="205">
        <f t="shared" si="12"/>
        <v>36887379.592500001</v>
      </c>
      <c r="E20" s="205">
        <f t="shared" si="12"/>
        <v>36887379.592500001</v>
      </c>
      <c r="F20" s="205">
        <f t="shared" si="12"/>
        <v>36887379.592500001</v>
      </c>
      <c r="G20" s="205">
        <f t="shared" si="12"/>
        <v>206027481.5925</v>
      </c>
      <c r="H20" s="205">
        <f t="shared" si="12"/>
        <v>36887379.592500001</v>
      </c>
      <c r="I20" s="205">
        <f t="shared" si="12"/>
        <v>36887379.592500001</v>
      </c>
      <c r="J20" s="205">
        <f t="shared" si="12"/>
        <v>36887379.592500001</v>
      </c>
      <c r="K20" s="205">
        <f t="shared" si="12"/>
        <v>36887379.592500001</v>
      </c>
      <c r="L20" s="205">
        <f t="shared" si="12"/>
        <v>36887379.592500001</v>
      </c>
      <c r="M20" s="205">
        <f t="shared" si="12"/>
        <v>37966635.592500001</v>
      </c>
      <c r="N20" s="174">
        <f t="shared" si="9"/>
        <v>621148887.1099999</v>
      </c>
    </row>
    <row r="21" spans="1:14" x14ac:dyDescent="0.25">
      <c r="A21" s="206" t="s">
        <v>478</v>
      </c>
      <c r="B21" s="205">
        <f>B11</f>
        <v>67584610.122500002</v>
      </c>
      <c r="C21" s="205">
        <f t="shared" ref="C21:M21" si="13">C11</f>
        <v>67584610.122500002</v>
      </c>
      <c r="D21" s="205">
        <f t="shared" si="13"/>
        <v>67584610.122500002</v>
      </c>
      <c r="E21" s="205">
        <f t="shared" si="13"/>
        <v>67584610.122500002</v>
      </c>
      <c r="F21" s="205">
        <f t="shared" si="13"/>
        <v>67584610.122500002</v>
      </c>
      <c r="G21" s="205">
        <f t="shared" si="13"/>
        <v>67584610.122500002</v>
      </c>
      <c r="H21" s="205">
        <f t="shared" si="13"/>
        <v>35723537.789166667</v>
      </c>
      <c r="I21" s="205">
        <f t="shared" si="13"/>
        <v>35723537.789166667</v>
      </c>
      <c r="J21" s="205">
        <f t="shared" si="13"/>
        <v>35723537.789166667</v>
      </c>
      <c r="K21" s="205">
        <f t="shared" si="13"/>
        <v>35723537.789166667</v>
      </c>
      <c r="L21" s="205">
        <f t="shared" si="13"/>
        <v>35723537.789166667</v>
      </c>
      <c r="M21" s="205">
        <f t="shared" si="13"/>
        <v>35723537.789166667</v>
      </c>
      <c r="N21" s="174">
        <f t="shared" si="9"/>
        <v>619848887.47000015</v>
      </c>
    </row>
    <row r="22" spans="1:14" ht="15.75" thickBot="1" x14ac:dyDescent="0.3">
      <c r="A22" s="207" t="s">
        <v>479</v>
      </c>
      <c r="B22" s="208">
        <f>B21-B20</f>
        <v>22416256.530000001</v>
      </c>
      <c r="C22" s="208">
        <f>B22+C21-C20</f>
        <v>53113487.060000002</v>
      </c>
      <c r="D22" s="208">
        <f>C22+D21-D20</f>
        <v>83810717.590000004</v>
      </c>
      <c r="E22" s="208">
        <f t="shared" ref="E22:M22" si="14">D22+E21-E20</f>
        <v>114507948.12</v>
      </c>
      <c r="F22" s="208">
        <f t="shared" si="14"/>
        <v>145205178.65000001</v>
      </c>
      <c r="G22" s="208">
        <f t="shared" si="14"/>
        <v>6762307.1800000072</v>
      </c>
      <c r="H22" s="208">
        <f>G22+H21-H20</f>
        <v>5598465.3766666725</v>
      </c>
      <c r="I22" s="208">
        <f t="shared" si="14"/>
        <v>4434623.5733333379</v>
      </c>
      <c r="J22" s="208">
        <f t="shared" si="14"/>
        <v>3270781.7700000033</v>
      </c>
      <c r="K22" s="208">
        <f t="shared" si="14"/>
        <v>2106939.9666666687</v>
      </c>
      <c r="L22" s="208">
        <f t="shared" si="14"/>
        <v>943098.16333333403</v>
      </c>
      <c r="M22" s="208">
        <f t="shared" si="14"/>
        <v>-1299999.6400000006</v>
      </c>
      <c r="N22" s="174">
        <f>N21-N20</f>
        <v>-1299999.6399997473</v>
      </c>
    </row>
  </sheetData>
  <mergeCells count="6">
    <mergeCell ref="A1:I1"/>
    <mergeCell ref="A13:N13"/>
    <mergeCell ref="B3:K3"/>
    <mergeCell ref="A6:N6"/>
    <mergeCell ref="A7:N7"/>
    <mergeCell ref="A12:N12"/>
  </mergeCells>
  <pageMargins left="0.25" right="0.25" top="0.75" bottom="0.75" header="0.3" footer="0.3"/>
  <pageSetup paperSize="9" scale="6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I53"/>
  <sheetViews>
    <sheetView workbookViewId="0">
      <selection activeCell="E22" sqref="E22"/>
    </sheetView>
  </sheetViews>
  <sheetFormatPr defaultRowHeight="15" x14ac:dyDescent="0.25"/>
  <cols>
    <col min="1" max="1" width="24.7109375" style="35" customWidth="1"/>
    <col min="2" max="2" width="19.85546875" customWidth="1"/>
    <col min="3" max="3" width="16" customWidth="1"/>
    <col min="4" max="4" width="12.42578125" bestFit="1" customWidth="1"/>
    <col min="5" max="5" width="11" bestFit="1" customWidth="1"/>
    <col min="6" max="6" width="12.7109375" customWidth="1"/>
    <col min="7" max="7" width="13.140625" customWidth="1"/>
    <col min="8" max="8" width="11.5703125" customWidth="1"/>
  </cols>
  <sheetData>
    <row r="1" spans="1:9" x14ac:dyDescent="0.25">
      <c r="A1" s="976" t="s">
        <v>763</v>
      </c>
      <c r="B1" s="976"/>
      <c r="C1" s="976"/>
      <c r="D1" s="976"/>
      <c r="E1" s="976"/>
      <c r="F1" s="976"/>
      <c r="G1" s="976"/>
      <c r="H1" s="976"/>
      <c r="I1" s="976"/>
    </row>
    <row r="2" spans="1:9" s="194" customFormat="1" x14ac:dyDescent="0.25">
      <c r="A2" s="269"/>
      <c r="B2" s="269"/>
      <c r="C2" s="269"/>
      <c r="D2" s="269"/>
      <c r="E2" s="269"/>
      <c r="F2" s="259"/>
      <c r="G2" s="259"/>
      <c r="H2" s="259"/>
      <c r="I2" s="259"/>
    </row>
    <row r="3" spans="1:9" s="194" customFormat="1" x14ac:dyDescent="0.25">
      <c r="A3" s="936" t="s">
        <v>705</v>
      </c>
      <c r="B3" s="936"/>
      <c r="C3" s="936"/>
      <c r="D3" s="936"/>
      <c r="E3" s="936"/>
      <c r="F3" s="936"/>
      <c r="G3" s="936"/>
      <c r="H3" s="936"/>
      <c r="I3" s="259"/>
    </row>
    <row r="4" spans="1:9" ht="15.75" thickBot="1" x14ac:dyDescent="0.3">
      <c r="A4" s="259"/>
      <c r="B4" s="259"/>
      <c r="C4" s="259"/>
      <c r="D4" s="259"/>
      <c r="E4" s="259"/>
      <c r="F4" s="259"/>
      <c r="G4" s="259"/>
      <c r="H4" s="259"/>
      <c r="I4" s="259"/>
    </row>
    <row r="5" spans="1:9" ht="15.75" thickTop="1" x14ac:dyDescent="0.25">
      <c r="A5" s="1104" t="s">
        <v>565</v>
      </c>
      <c r="B5" s="266"/>
      <c r="C5" s="1107" t="s">
        <v>566</v>
      </c>
      <c r="D5" s="1110" t="s">
        <v>567</v>
      </c>
      <c r="E5" s="1110"/>
      <c r="F5" s="1110"/>
      <c r="G5" s="1110"/>
      <c r="H5" s="1110"/>
      <c r="I5" s="263"/>
    </row>
    <row r="6" spans="1:9" x14ac:dyDescent="0.25">
      <c r="A6" s="1105"/>
      <c r="B6" s="267"/>
      <c r="C6" s="1108"/>
      <c r="D6" s="1111" t="s">
        <v>568</v>
      </c>
      <c r="E6" s="1111"/>
      <c r="F6" s="1111"/>
      <c r="G6" s="1112" t="s">
        <v>569</v>
      </c>
      <c r="H6" s="1112"/>
      <c r="I6" s="1094" t="s">
        <v>570</v>
      </c>
    </row>
    <row r="7" spans="1:9" x14ac:dyDescent="0.25">
      <c r="A7" s="1105"/>
      <c r="B7" s="267"/>
      <c r="C7" s="1108"/>
      <c r="D7" s="1100" t="s">
        <v>571</v>
      </c>
      <c r="E7" s="1102" t="s">
        <v>572</v>
      </c>
      <c r="F7" s="1096" t="s">
        <v>573</v>
      </c>
      <c r="G7" s="1096" t="s">
        <v>574</v>
      </c>
      <c r="H7" s="1098" t="s">
        <v>575</v>
      </c>
      <c r="I7" s="1094"/>
    </row>
    <row r="8" spans="1:9" ht="15.75" thickBot="1" x14ac:dyDescent="0.3">
      <c r="A8" s="1106"/>
      <c r="B8" s="451"/>
      <c r="C8" s="1109"/>
      <c r="D8" s="1101"/>
      <c r="E8" s="1103"/>
      <c r="F8" s="1097"/>
      <c r="G8" s="1097"/>
      <c r="H8" s="1099"/>
      <c r="I8" s="1095"/>
    </row>
    <row r="9" spans="1:9" ht="15.75" x14ac:dyDescent="0.25">
      <c r="A9" s="1082" t="s">
        <v>576</v>
      </c>
      <c r="B9" s="452"/>
      <c r="C9" s="458"/>
      <c r="D9" s="459"/>
      <c r="E9" s="460"/>
      <c r="F9" s="461"/>
      <c r="G9" s="461"/>
      <c r="H9" s="461"/>
      <c r="I9" s="462"/>
    </row>
    <row r="10" spans="1:9" ht="15.75" x14ac:dyDescent="0.25">
      <c r="A10" s="1083"/>
      <c r="B10" s="453"/>
      <c r="C10" s="463"/>
      <c r="D10" s="464"/>
      <c r="E10" s="465"/>
      <c r="F10" s="466"/>
      <c r="G10" s="466"/>
      <c r="H10" s="466"/>
      <c r="I10" s="467"/>
    </row>
    <row r="11" spans="1:9" ht="15.75" x14ac:dyDescent="0.25">
      <c r="A11" s="1083"/>
      <c r="B11" s="453" t="s">
        <v>706</v>
      </c>
      <c r="C11" s="468">
        <f>SUM(D11:I11)</f>
        <v>8</v>
      </c>
      <c r="D11" s="457">
        <v>7</v>
      </c>
      <c r="E11" s="465"/>
      <c r="F11" s="469">
        <v>1</v>
      </c>
      <c r="G11" s="470"/>
      <c r="H11" s="470"/>
      <c r="I11" s="467"/>
    </row>
    <row r="12" spans="1:9" ht="13.5" customHeight="1" x14ac:dyDescent="0.25">
      <c r="A12" s="1083"/>
      <c r="B12" s="453"/>
      <c r="C12" s="463"/>
      <c r="D12" s="471"/>
      <c r="E12" s="465"/>
      <c r="F12" s="470"/>
      <c r="G12" s="470"/>
      <c r="H12" s="470"/>
      <c r="I12" s="467"/>
    </row>
    <row r="13" spans="1:9" ht="16.5" customHeight="1" thickBot="1" x14ac:dyDescent="0.3">
      <c r="A13" s="1084"/>
      <c r="B13" s="454"/>
      <c r="C13" s="472"/>
      <c r="D13" s="473"/>
      <c r="E13" s="474"/>
      <c r="F13" s="475"/>
      <c r="G13" s="475"/>
      <c r="H13" s="475"/>
      <c r="I13" s="476"/>
    </row>
    <row r="14" spans="1:9" ht="15.75" x14ac:dyDescent="0.25">
      <c r="A14" s="1092" t="s">
        <v>577</v>
      </c>
      <c r="B14" s="450"/>
      <c r="C14" s="477"/>
      <c r="D14" s="477"/>
      <c r="E14" s="477"/>
      <c r="F14" s="478"/>
      <c r="G14" s="478"/>
      <c r="H14" s="478"/>
      <c r="I14" s="462"/>
    </row>
    <row r="15" spans="1:9" ht="15.75" x14ac:dyDescent="0.25">
      <c r="A15" s="1092"/>
      <c r="B15" s="264"/>
      <c r="C15" s="479"/>
      <c r="D15" s="479"/>
      <c r="E15" s="479"/>
      <c r="F15" s="480"/>
      <c r="G15" s="480"/>
      <c r="H15" s="480"/>
      <c r="I15" s="481"/>
    </row>
    <row r="16" spans="1:9" ht="15.75" x14ac:dyDescent="0.25">
      <c r="A16" s="1092"/>
      <c r="B16" s="450" t="s">
        <v>706</v>
      </c>
      <c r="C16" s="479">
        <f>SUM(D16:I16)</f>
        <v>7</v>
      </c>
      <c r="D16" s="479">
        <v>3</v>
      </c>
      <c r="E16" s="479">
        <v>1</v>
      </c>
      <c r="F16" s="480"/>
      <c r="G16" s="480">
        <v>3</v>
      </c>
      <c r="H16" s="480"/>
      <c r="I16" s="481"/>
    </row>
    <row r="17" spans="1:9" ht="15.75" customHeight="1" x14ac:dyDescent="0.25">
      <c r="A17" s="1092"/>
      <c r="B17" s="264"/>
      <c r="C17" s="479"/>
      <c r="D17" s="479"/>
      <c r="E17" s="479"/>
      <c r="F17" s="480"/>
      <c r="G17" s="480"/>
      <c r="H17" s="480"/>
      <c r="I17" s="481"/>
    </row>
    <row r="18" spans="1:9" ht="14.25" customHeight="1" thickBot="1" x14ac:dyDescent="0.3">
      <c r="A18" s="1093"/>
      <c r="B18" s="268"/>
      <c r="C18" s="482"/>
      <c r="D18" s="482"/>
      <c r="E18" s="482"/>
      <c r="F18" s="483"/>
      <c r="G18" s="483"/>
      <c r="H18" s="483"/>
      <c r="I18" s="484"/>
    </row>
    <row r="19" spans="1:9" ht="15.75" x14ac:dyDescent="0.25">
      <c r="A19" s="1079" t="s">
        <v>527</v>
      </c>
      <c r="B19" s="450"/>
      <c r="C19" s="477"/>
      <c r="D19" s="477"/>
      <c r="E19" s="477"/>
      <c r="F19" s="478"/>
      <c r="G19" s="478"/>
      <c r="H19" s="478"/>
      <c r="I19" s="462"/>
    </row>
    <row r="20" spans="1:9" ht="15.75" x14ac:dyDescent="0.25">
      <c r="A20" s="1080"/>
      <c r="B20" s="264"/>
      <c r="C20" s="479"/>
      <c r="D20" s="479"/>
      <c r="E20" s="479"/>
      <c r="F20" s="480"/>
      <c r="G20" s="480"/>
      <c r="H20" s="480"/>
      <c r="I20" s="481"/>
    </row>
    <row r="21" spans="1:9" ht="15.75" x14ac:dyDescent="0.25">
      <c r="A21" s="1080"/>
      <c r="B21" s="264" t="s">
        <v>707</v>
      </c>
      <c r="C21" s="479">
        <f>SUM(D21:I21)</f>
        <v>4</v>
      </c>
      <c r="D21" s="479">
        <v>3</v>
      </c>
      <c r="E21" s="479"/>
      <c r="F21" s="480"/>
      <c r="G21" s="480">
        <v>1</v>
      </c>
      <c r="H21" s="480"/>
      <c r="I21" s="481"/>
    </row>
    <row r="22" spans="1:9" ht="15" customHeight="1" x14ac:dyDescent="0.25">
      <c r="A22" s="1080"/>
      <c r="B22" s="264"/>
      <c r="C22" s="479"/>
      <c r="D22" s="479"/>
      <c r="E22" s="479"/>
      <c r="F22" s="480"/>
      <c r="G22" s="480"/>
      <c r="H22" s="480"/>
      <c r="I22" s="481"/>
    </row>
    <row r="23" spans="1:9" ht="13.5" customHeight="1" thickBot="1" x14ac:dyDescent="0.3">
      <c r="A23" s="1081"/>
      <c r="B23" s="268"/>
      <c r="C23" s="482"/>
      <c r="D23" s="482"/>
      <c r="E23" s="482"/>
      <c r="F23" s="483"/>
      <c r="G23" s="483"/>
      <c r="H23" s="483"/>
      <c r="I23" s="484"/>
    </row>
    <row r="24" spans="1:9" ht="15.75" x14ac:dyDescent="0.25">
      <c r="A24" s="1079" t="s">
        <v>578</v>
      </c>
      <c r="B24" s="450"/>
      <c r="C24" s="477"/>
      <c r="D24" s="477"/>
      <c r="E24" s="477"/>
      <c r="F24" s="478"/>
      <c r="G24" s="478"/>
      <c r="H24" s="478"/>
      <c r="I24" s="462"/>
    </row>
    <row r="25" spans="1:9" ht="15.75" x14ac:dyDescent="0.25">
      <c r="A25" s="1079"/>
      <c r="B25" s="264"/>
      <c r="C25" s="479"/>
      <c r="D25" s="479"/>
      <c r="E25" s="479"/>
      <c r="F25" s="480"/>
      <c r="G25" s="480"/>
      <c r="H25" s="480"/>
      <c r="I25" s="481"/>
    </row>
    <row r="26" spans="1:9" ht="15.75" x14ac:dyDescent="0.25">
      <c r="A26" s="1079"/>
      <c r="B26" s="264" t="s">
        <v>707</v>
      </c>
      <c r="C26" s="479">
        <f>SUM(D26:I26)</f>
        <v>18</v>
      </c>
      <c r="D26" s="479">
        <v>16</v>
      </c>
      <c r="E26" s="479"/>
      <c r="F26" s="480"/>
      <c r="G26" s="480"/>
      <c r="H26" s="480">
        <v>2</v>
      </c>
      <c r="I26" s="481"/>
    </row>
    <row r="27" spans="1:9" ht="15.75" x14ac:dyDescent="0.25">
      <c r="A27" s="1079"/>
      <c r="B27" s="264"/>
      <c r="C27" s="479"/>
      <c r="D27" s="479"/>
      <c r="E27" s="479"/>
      <c r="F27" s="480"/>
      <c r="G27" s="480"/>
      <c r="H27" s="480"/>
      <c r="I27" s="481"/>
    </row>
    <row r="28" spans="1:9" ht="16.5" customHeight="1" thickBot="1" x14ac:dyDescent="0.3">
      <c r="A28" s="1087"/>
      <c r="B28" s="268"/>
      <c r="C28" s="482"/>
      <c r="D28" s="482"/>
      <c r="E28" s="482"/>
      <c r="F28" s="483"/>
      <c r="G28" s="483"/>
      <c r="H28" s="483"/>
      <c r="I28" s="484"/>
    </row>
    <row r="29" spans="1:9" ht="15.75" x14ac:dyDescent="0.25">
      <c r="A29" s="1088" t="s">
        <v>579</v>
      </c>
      <c r="B29" s="450"/>
      <c r="C29" s="477"/>
      <c r="D29" s="477"/>
      <c r="E29" s="477"/>
      <c r="F29" s="478"/>
      <c r="G29" s="478"/>
      <c r="H29" s="478"/>
      <c r="I29" s="462"/>
    </row>
    <row r="30" spans="1:9" ht="15.75" x14ac:dyDescent="0.25">
      <c r="A30" s="1089"/>
      <c r="B30" s="264"/>
      <c r="C30" s="479"/>
      <c r="D30" s="479"/>
      <c r="E30" s="479"/>
      <c r="F30" s="480"/>
      <c r="G30" s="480"/>
      <c r="H30" s="480"/>
      <c r="I30" s="481"/>
    </row>
    <row r="31" spans="1:9" ht="15.75" x14ac:dyDescent="0.25">
      <c r="A31" s="1089"/>
      <c r="B31" s="264" t="s">
        <v>707</v>
      </c>
      <c r="C31" s="479">
        <v>5</v>
      </c>
      <c r="D31" s="485"/>
      <c r="E31" s="485"/>
      <c r="F31" s="486"/>
      <c r="G31" s="486"/>
      <c r="H31" s="486"/>
      <c r="I31" s="481">
        <v>5</v>
      </c>
    </row>
    <row r="32" spans="1:9" ht="15.75" x14ac:dyDescent="0.25">
      <c r="A32" s="1089"/>
      <c r="B32" s="264"/>
      <c r="C32" s="479"/>
      <c r="D32" s="485"/>
      <c r="E32" s="485"/>
      <c r="F32" s="486"/>
      <c r="G32" s="486"/>
      <c r="H32" s="486"/>
      <c r="I32" s="481"/>
    </row>
    <row r="33" spans="1:9" ht="16.5" thickBot="1" x14ac:dyDescent="0.3">
      <c r="A33" s="1090"/>
      <c r="B33" s="268"/>
      <c r="C33" s="482"/>
      <c r="D33" s="482"/>
      <c r="E33" s="482"/>
      <c r="F33" s="483"/>
      <c r="G33" s="483"/>
      <c r="H33" s="483"/>
      <c r="I33" s="484"/>
    </row>
    <row r="34" spans="1:9" ht="15.75" x14ac:dyDescent="0.25">
      <c r="A34" s="1079"/>
      <c r="B34" s="450"/>
      <c r="C34" s="477"/>
      <c r="D34" s="487"/>
      <c r="E34" s="487"/>
      <c r="F34" s="488"/>
      <c r="G34" s="488"/>
      <c r="H34" s="488"/>
      <c r="I34" s="462"/>
    </row>
    <row r="35" spans="1:9" ht="15.75" x14ac:dyDescent="0.25">
      <c r="A35" s="1079"/>
      <c r="B35" s="264"/>
      <c r="C35" s="479"/>
      <c r="D35" s="485"/>
      <c r="E35" s="485"/>
      <c r="F35" s="489"/>
      <c r="G35" s="489"/>
      <c r="H35" s="489"/>
      <c r="I35" s="481"/>
    </row>
    <row r="36" spans="1:9" ht="15.75" x14ac:dyDescent="0.25">
      <c r="A36" s="1079"/>
      <c r="B36" s="264"/>
      <c r="C36" s="479"/>
      <c r="D36" s="485"/>
      <c r="E36" s="485"/>
      <c r="F36" s="489"/>
      <c r="G36" s="489"/>
      <c r="H36" s="489"/>
      <c r="I36" s="481"/>
    </row>
    <row r="37" spans="1:9" ht="15.75" x14ac:dyDescent="0.25">
      <c r="A37" s="1079"/>
      <c r="B37" s="264"/>
      <c r="C37" s="479"/>
      <c r="D37" s="485"/>
      <c r="E37" s="485"/>
      <c r="F37" s="489"/>
      <c r="G37" s="489"/>
      <c r="H37" s="489"/>
      <c r="I37" s="481"/>
    </row>
    <row r="38" spans="1:9" ht="16.5" thickBot="1" x14ac:dyDescent="0.3">
      <c r="A38" s="1087"/>
      <c r="B38" s="268"/>
      <c r="C38" s="482"/>
      <c r="D38" s="482"/>
      <c r="E38" s="482"/>
      <c r="F38" s="490"/>
      <c r="G38" s="490"/>
      <c r="H38" s="490"/>
      <c r="I38" s="484"/>
    </row>
    <row r="39" spans="1:9" ht="15.75" x14ac:dyDescent="0.25">
      <c r="A39" s="1079"/>
      <c r="B39" s="450"/>
      <c r="C39" s="477"/>
      <c r="D39" s="487"/>
      <c r="E39" s="487"/>
      <c r="F39" s="488"/>
      <c r="G39" s="488"/>
      <c r="H39" s="488"/>
      <c r="I39" s="462"/>
    </row>
    <row r="40" spans="1:9" ht="15.75" x14ac:dyDescent="0.25">
      <c r="A40" s="1080"/>
      <c r="B40" s="264"/>
      <c r="C40" s="479"/>
      <c r="D40" s="485"/>
      <c r="E40" s="485"/>
      <c r="F40" s="489"/>
      <c r="G40" s="489"/>
      <c r="H40" s="489"/>
      <c r="I40" s="481"/>
    </row>
    <row r="41" spans="1:9" ht="15.75" x14ac:dyDescent="0.25">
      <c r="A41" s="1080"/>
      <c r="B41" s="264"/>
      <c r="C41" s="479"/>
      <c r="D41" s="485"/>
      <c r="E41" s="485"/>
      <c r="F41" s="489"/>
      <c r="G41" s="489"/>
      <c r="H41" s="489"/>
      <c r="I41" s="481"/>
    </row>
    <row r="42" spans="1:9" ht="15.75" x14ac:dyDescent="0.25">
      <c r="A42" s="1080"/>
      <c r="B42" s="264"/>
      <c r="C42" s="479"/>
      <c r="D42" s="485"/>
      <c r="E42" s="485"/>
      <c r="F42" s="489"/>
      <c r="G42" s="491"/>
      <c r="H42" s="489"/>
      <c r="I42" s="481"/>
    </row>
    <row r="43" spans="1:9" ht="15.75" x14ac:dyDescent="0.25">
      <c r="A43" s="1091"/>
      <c r="B43" s="264"/>
      <c r="C43" s="261"/>
      <c r="D43" s="261"/>
      <c r="E43" s="261"/>
      <c r="F43" s="260"/>
      <c r="G43" s="260"/>
      <c r="H43" s="262"/>
      <c r="I43" s="265"/>
    </row>
    <row r="44" spans="1:9" ht="15.75" x14ac:dyDescent="0.25">
      <c r="A44" s="1085"/>
      <c r="B44" s="443"/>
      <c r="C44" s="444"/>
      <c r="D44" s="444"/>
      <c r="E44" s="444"/>
      <c r="F44" s="445"/>
      <c r="G44" s="445"/>
      <c r="H44" s="446"/>
      <c r="I44" s="447"/>
    </row>
    <row r="45" spans="1:9" ht="15.75" x14ac:dyDescent="0.25">
      <c r="A45" s="1085"/>
      <c r="B45" s="448"/>
      <c r="C45" s="444"/>
      <c r="D45" s="444"/>
      <c r="E45" s="444"/>
      <c r="F45" s="445"/>
      <c r="G45" s="445"/>
      <c r="H45" s="446"/>
      <c r="I45" s="447"/>
    </row>
    <row r="46" spans="1:9" ht="15.75" x14ac:dyDescent="0.25">
      <c r="A46" s="1085"/>
      <c r="B46" s="448"/>
      <c r="C46" s="444"/>
      <c r="D46" s="444"/>
      <c r="E46" s="444"/>
      <c r="F46" s="445"/>
      <c r="G46" s="445"/>
      <c r="H46" s="446"/>
      <c r="I46" s="447"/>
    </row>
    <row r="47" spans="1:9" ht="15.75" x14ac:dyDescent="0.25">
      <c r="A47" s="1085"/>
      <c r="B47" s="448"/>
      <c r="C47" s="444"/>
      <c r="D47" s="444"/>
      <c r="E47" s="444"/>
      <c r="F47" s="445"/>
      <c r="G47" s="445"/>
      <c r="H47" s="446"/>
      <c r="I47" s="447"/>
    </row>
    <row r="48" spans="1:9" ht="15.75" x14ac:dyDescent="0.25">
      <c r="A48" s="1085"/>
      <c r="B48" s="448"/>
      <c r="C48" s="444"/>
      <c r="D48" s="444"/>
      <c r="E48" s="444"/>
      <c r="F48" s="445"/>
      <c r="G48" s="445"/>
      <c r="H48" s="446"/>
      <c r="I48" s="447"/>
    </row>
    <row r="49" spans="1:9" ht="15.75" x14ac:dyDescent="0.25">
      <c r="A49" s="1085"/>
      <c r="B49" s="443"/>
      <c r="C49" s="444"/>
      <c r="D49" s="444"/>
      <c r="E49" s="444"/>
      <c r="F49" s="444"/>
      <c r="G49" s="444"/>
      <c r="H49" s="444"/>
      <c r="I49" s="449"/>
    </row>
    <row r="50" spans="1:9" ht="15.75" x14ac:dyDescent="0.25">
      <c r="A50" s="1086"/>
      <c r="B50" s="448"/>
      <c r="C50" s="444"/>
      <c r="D50" s="444"/>
      <c r="E50" s="444"/>
      <c r="F50" s="444"/>
      <c r="G50" s="444"/>
      <c r="H50" s="444"/>
      <c r="I50" s="449"/>
    </row>
    <row r="51" spans="1:9" ht="15.75" x14ac:dyDescent="0.25">
      <c r="A51" s="1086"/>
      <c r="B51" s="448"/>
      <c r="C51" s="444"/>
      <c r="D51" s="444"/>
      <c r="E51" s="444"/>
      <c r="F51" s="444"/>
      <c r="G51" s="444"/>
      <c r="H51" s="444"/>
      <c r="I51" s="449"/>
    </row>
    <row r="52" spans="1:9" ht="15.75" x14ac:dyDescent="0.25">
      <c r="A52" s="1086"/>
      <c r="B52" s="448"/>
      <c r="C52" s="444"/>
      <c r="D52" s="444"/>
      <c r="E52" s="444"/>
      <c r="F52" s="444"/>
      <c r="G52" s="444"/>
      <c r="H52" s="444"/>
      <c r="I52" s="449"/>
    </row>
    <row r="53" spans="1:9" ht="15.75" x14ac:dyDescent="0.25">
      <c r="A53" s="1086"/>
      <c r="B53" s="448"/>
      <c r="C53" s="444"/>
      <c r="D53" s="444"/>
      <c r="E53" s="444"/>
      <c r="F53" s="444"/>
      <c r="G53" s="444"/>
      <c r="H53" s="444"/>
      <c r="I53" s="449"/>
    </row>
  </sheetData>
  <mergeCells count="22">
    <mergeCell ref="E7:E8"/>
    <mergeCell ref="A5:A8"/>
    <mergeCell ref="C5:C8"/>
    <mergeCell ref="D5:H5"/>
    <mergeCell ref="D6:F6"/>
    <mergeCell ref="G6:H6"/>
    <mergeCell ref="A1:I1"/>
    <mergeCell ref="A19:A23"/>
    <mergeCell ref="A9:A13"/>
    <mergeCell ref="A49:A53"/>
    <mergeCell ref="A24:A28"/>
    <mergeCell ref="A29:A33"/>
    <mergeCell ref="A34:A38"/>
    <mergeCell ref="A39:A43"/>
    <mergeCell ref="A44:A48"/>
    <mergeCell ref="A14:A18"/>
    <mergeCell ref="I6:I8"/>
    <mergeCell ref="G7:G8"/>
    <mergeCell ref="H7:H8"/>
    <mergeCell ref="A3:H3"/>
    <mergeCell ref="D7:D8"/>
    <mergeCell ref="F7:F8"/>
  </mergeCells>
  <pageMargins left="0.25" right="0.25" top="0.75" bottom="0.75" header="0.3" footer="0.3"/>
  <pageSetup paperSize="9" scale="75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3"/>
  <sheetViews>
    <sheetView workbookViewId="0">
      <selection activeCell="A2" sqref="A2:C2"/>
    </sheetView>
  </sheetViews>
  <sheetFormatPr defaultRowHeight="15" x14ac:dyDescent="0.25"/>
  <cols>
    <col min="1" max="1" width="33.28515625" customWidth="1"/>
    <col min="2" max="2" width="18.42578125" customWidth="1"/>
    <col min="3" max="3" width="25.28515625" customWidth="1"/>
  </cols>
  <sheetData>
    <row r="1" spans="1:9" s="259" customFormat="1" x14ac:dyDescent="0.25"/>
    <row r="2" spans="1:9" x14ac:dyDescent="0.25">
      <c r="A2" s="936" t="s">
        <v>764</v>
      </c>
      <c r="B2" s="936"/>
      <c r="C2" s="936"/>
      <c r="D2" s="740"/>
      <c r="E2" s="740"/>
      <c r="F2" s="740"/>
      <c r="G2" s="740"/>
      <c r="H2" s="740"/>
      <c r="I2" s="740"/>
    </row>
    <row r="3" spans="1:9" s="259" customFormat="1" x14ac:dyDescent="0.25">
      <c r="A3" s="740"/>
      <c r="B3" s="740"/>
      <c r="C3" s="740"/>
      <c r="D3" s="740"/>
      <c r="E3" s="740"/>
      <c r="F3" s="740"/>
      <c r="G3" s="740"/>
      <c r="H3" s="740"/>
      <c r="I3" s="740"/>
    </row>
    <row r="4" spans="1:9" s="194" customFormat="1" x14ac:dyDescent="0.25">
      <c r="A4" s="249"/>
      <c r="B4" s="249"/>
      <c r="C4" s="249"/>
      <c r="D4" s="249"/>
      <c r="E4" s="249"/>
    </row>
    <row r="5" spans="1:9" s="194" customFormat="1" ht="33" customHeight="1" x14ac:dyDescent="0.25">
      <c r="A5" s="1119" t="s">
        <v>708</v>
      </c>
      <c r="B5" s="1119"/>
      <c r="C5" s="1119"/>
      <c r="D5" s="249"/>
      <c r="E5" s="249"/>
    </row>
    <row r="7" spans="1:9" x14ac:dyDescent="0.25">
      <c r="A7" s="1113"/>
      <c r="B7" s="1114"/>
      <c r="C7" s="1115"/>
    </row>
    <row r="8" spans="1:9" ht="60.75" customHeight="1" x14ac:dyDescent="0.25">
      <c r="A8" s="1116" t="s">
        <v>562</v>
      </c>
      <c r="B8" s="1117"/>
      <c r="C8" s="1118"/>
    </row>
    <row r="9" spans="1:9" ht="15.75" thickBot="1" x14ac:dyDescent="0.3">
      <c r="A9" s="734"/>
      <c r="B9" s="734" t="s">
        <v>61</v>
      </c>
      <c r="C9" s="735" t="s">
        <v>451</v>
      </c>
    </row>
    <row r="10" spans="1:9" x14ac:dyDescent="0.25">
      <c r="A10" s="732" t="s">
        <v>563</v>
      </c>
      <c r="B10" s="732">
        <v>3</v>
      </c>
      <c r="C10" s="733">
        <v>28000</v>
      </c>
    </row>
    <row r="11" spans="1:9" x14ac:dyDescent="0.25">
      <c r="A11" s="193" t="s">
        <v>564</v>
      </c>
      <c r="B11" s="193">
        <v>54</v>
      </c>
      <c r="C11" s="731">
        <v>183000</v>
      </c>
    </row>
    <row r="12" spans="1:9" ht="15.75" thickBot="1" x14ac:dyDescent="0.3">
      <c r="A12" s="736"/>
      <c r="B12" s="736"/>
      <c r="C12" s="737"/>
    </row>
    <row r="13" spans="1:9" ht="15.75" thickTop="1" x14ac:dyDescent="0.25">
      <c r="A13" s="738" t="s">
        <v>408</v>
      </c>
      <c r="B13" s="738">
        <f>SUM(B10:B12)</f>
        <v>57</v>
      </c>
      <c r="C13" s="739">
        <f>SUM(C10:C12)</f>
        <v>211000</v>
      </c>
    </row>
  </sheetData>
  <mergeCells count="4">
    <mergeCell ref="A7:C7"/>
    <mergeCell ref="A8:C8"/>
    <mergeCell ref="A5:C5"/>
    <mergeCell ref="A2:C2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H36"/>
  <sheetViews>
    <sheetView workbookViewId="0">
      <selection sqref="A1:F2"/>
    </sheetView>
  </sheetViews>
  <sheetFormatPr defaultRowHeight="15" x14ac:dyDescent="0.25"/>
  <cols>
    <col min="1" max="1" width="28.140625" customWidth="1"/>
    <col min="2" max="2" width="7.140625" customWidth="1"/>
    <col min="3" max="3" width="14.85546875" hidden="1" customWidth="1"/>
    <col min="4" max="4" width="12.140625" customWidth="1"/>
    <col min="5" max="5" width="11.42578125" customWidth="1"/>
    <col min="6" max="6" width="12.42578125" customWidth="1"/>
    <col min="7" max="7" width="11.7109375" style="259" customWidth="1"/>
    <col min="8" max="8" width="12.28515625" customWidth="1"/>
  </cols>
  <sheetData>
    <row r="1" spans="1:8" x14ac:dyDescent="0.25">
      <c r="A1" s="1120" t="s">
        <v>765</v>
      </c>
      <c r="B1" s="1120"/>
      <c r="C1" s="1120"/>
      <c r="D1" s="1120"/>
      <c r="E1" s="1120"/>
      <c r="F1" s="1120"/>
      <c r="G1" s="272"/>
      <c r="H1" s="194"/>
    </row>
    <row r="2" spans="1:8" x14ac:dyDescent="0.25">
      <c r="A2" s="1120"/>
      <c r="B2" s="1120"/>
      <c r="C2" s="1120"/>
      <c r="D2" s="1120"/>
      <c r="E2" s="1120"/>
      <c r="F2" s="1120"/>
      <c r="G2" s="272"/>
      <c r="H2" s="194"/>
    </row>
    <row r="3" spans="1:8" x14ac:dyDescent="0.25">
      <c r="A3" s="164"/>
      <c r="B3" s="164"/>
      <c r="C3" s="164"/>
      <c r="D3" s="164"/>
      <c r="E3" s="164"/>
      <c r="F3" s="164"/>
      <c r="G3" s="272"/>
      <c r="H3" s="194"/>
    </row>
    <row r="4" spans="1:8" ht="37.5" customHeight="1" x14ac:dyDescent="0.25">
      <c r="A4" s="1121" t="s">
        <v>528</v>
      </c>
      <c r="B4" s="1121"/>
      <c r="C4" s="1121"/>
      <c r="D4" s="1121"/>
      <c r="E4" s="1121"/>
      <c r="F4" s="1121"/>
      <c r="G4" s="1121"/>
      <c r="H4" s="1121"/>
    </row>
    <row r="5" spans="1:8" ht="15.75" thickBot="1" x14ac:dyDescent="0.3">
      <c r="A5" s="209"/>
      <c r="B5" s="209"/>
      <c r="C5" s="209"/>
      <c r="D5" s="209"/>
      <c r="E5" s="209"/>
      <c r="F5" s="209"/>
      <c r="G5" s="209"/>
      <c r="H5" s="210" t="s">
        <v>480</v>
      </c>
    </row>
    <row r="6" spans="1:8" ht="15" customHeight="1" x14ac:dyDescent="0.25">
      <c r="A6" s="1122" t="s">
        <v>481</v>
      </c>
      <c r="B6" s="1125" t="s">
        <v>275</v>
      </c>
      <c r="D6" s="1131" t="s">
        <v>482</v>
      </c>
      <c r="E6" s="1131"/>
      <c r="F6" s="1131"/>
      <c r="G6" s="1132"/>
      <c r="H6" s="1128" t="s">
        <v>483</v>
      </c>
    </row>
    <row r="7" spans="1:8" x14ac:dyDescent="0.25">
      <c r="A7" s="1123"/>
      <c r="B7" s="1126"/>
      <c r="C7" s="373"/>
      <c r="D7" s="1133"/>
      <c r="E7" s="1133"/>
      <c r="F7" s="1133"/>
      <c r="G7" s="1134"/>
      <c r="H7" s="1129"/>
    </row>
    <row r="8" spans="1:8" ht="15.75" thickBot="1" x14ac:dyDescent="0.3">
      <c r="A8" s="1124"/>
      <c r="B8" s="1127"/>
      <c r="C8" s="211">
        <v>2018</v>
      </c>
      <c r="D8" s="440">
        <v>2019</v>
      </c>
      <c r="E8" s="440">
        <v>2020</v>
      </c>
      <c r="F8" s="211">
        <v>2021</v>
      </c>
      <c r="G8" s="366">
        <v>2022</v>
      </c>
      <c r="H8" s="1130"/>
    </row>
    <row r="9" spans="1:8" x14ac:dyDescent="0.25">
      <c r="A9" s="212">
        <v>1</v>
      </c>
      <c r="B9" s="213">
        <v>2</v>
      </c>
      <c r="C9" s="213">
        <v>3</v>
      </c>
      <c r="D9" s="213">
        <v>3</v>
      </c>
      <c r="E9" s="213">
        <v>4</v>
      </c>
      <c r="F9" s="213">
        <v>5</v>
      </c>
      <c r="G9" s="367">
        <v>6</v>
      </c>
      <c r="H9" s="214">
        <v>7</v>
      </c>
    </row>
    <row r="10" spans="1:8" x14ac:dyDescent="0.25">
      <c r="A10" s="215" t="s">
        <v>484</v>
      </c>
      <c r="B10" s="216" t="s">
        <v>485</v>
      </c>
      <c r="C10" s="217">
        <f>'4mellékletKözhatalmi bevételek'!C19</f>
        <v>50422954</v>
      </c>
      <c r="D10" s="217">
        <f>'4mellékletKözhatalmi bevételek'!D19</f>
        <v>40400000</v>
      </c>
      <c r="E10" s="217">
        <f>D10*1.039</f>
        <v>41975600</v>
      </c>
      <c r="F10" s="217">
        <f>E10*1.039</f>
        <v>43612648.399999999</v>
      </c>
      <c r="G10" s="217">
        <f>F10*1.039</f>
        <v>45313541.687599994</v>
      </c>
      <c r="H10" s="218">
        <f>D10+E10+F10+G10</f>
        <v>171301790.08759999</v>
      </c>
    </row>
    <row r="11" spans="1:8" x14ac:dyDescent="0.25">
      <c r="A11" s="215" t="s">
        <v>486</v>
      </c>
      <c r="B11" s="216" t="s">
        <v>487</v>
      </c>
      <c r="C11" s="217">
        <v>0</v>
      </c>
      <c r="D11" s="217">
        <f>C11*1.039</f>
        <v>0</v>
      </c>
      <c r="E11" s="217">
        <f t="shared" ref="E11:F13" si="0">D11*1.039</f>
        <v>0</v>
      </c>
      <c r="F11" s="217">
        <f t="shared" si="0"/>
        <v>0</v>
      </c>
      <c r="G11" s="368"/>
      <c r="H11" s="218">
        <f t="shared" ref="H11:H16" si="1">D11+E11+F11+G11</f>
        <v>0</v>
      </c>
    </row>
    <row r="12" spans="1:8" x14ac:dyDescent="0.25">
      <c r="A12" s="215" t="s">
        <v>488</v>
      </c>
      <c r="B12" s="216" t="s">
        <v>489</v>
      </c>
      <c r="C12" s="217">
        <v>0</v>
      </c>
      <c r="D12" s="217">
        <v>0</v>
      </c>
      <c r="E12" s="217">
        <f t="shared" si="0"/>
        <v>0</v>
      </c>
      <c r="F12" s="217">
        <f t="shared" si="0"/>
        <v>0</v>
      </c>
      <c r="G12" s="368"/>
      <c r="H12" s="218">
        <f t="shared" si="1"/>
        <v>0</v>
      </c>
    </row>
    <row r="13" spans="1:8" ht="84.75" customHeight="1" x14ac:dyDescent="0.25">
      <c r="A13" s="215" t="s">
        <v>490</v>
      </c>
      <c r="B13" s="216" t="s">
        <v>491</v>
      </c>
      <c r="C13" s="217">
        <v>0</v>
      </c>
      <c r="D13" s="217">
        <f>C13*1.039</f>
        <v>0</v>
      </c>
      <c r="E13" s="217">
        <f t="shared" si="0"/>
        <v>0</v>
      </c>
      <c r="F13" s="217">
        <f t="shared" si="0"/>
        <v>0</v>
      </c>
      <c r="G13" s="368"/>
      <c r="H13" s="218">
        <f t="shared" si="1"/>
        <v>0</v>
      </c>
    </row>
    <row r="14" spans="1:8" x14ac:dyDescent="0.25">
      <c r="A14" s="215" t="s">
        <v>492</v>
      </c>
      <c r="B14" s="216" t="s">
        <v>493</v>
      </c>
      <c r="C14" s="217">
        <v>0</v>
      </c>
      <c r="D14" s="217">
        <v>0</v>
      </c>
      <c r="E14" s="217">
        <v>0</v>
      </c>
      <c r="F14" s="217">
        <v>0</v>
      </c>
      <c r="G14" s="368"/>
      <c r="H14" s="218">
        <f t="shared" si="1"/>
        <v>0</v>
      </c>
    </row>
    <row r="15" spans="1:8" ht="31.5" customHeight="1" x14ac:dyDescent="0.25">
      <c r="A15" s="215" t="s">
        <v>494</v>
      </c>
      <c r="B15" s="216" t="s">
        <v>495</v>
      </c>
      <c r="C15" s="217">
        <v>0</v>
      </c>
      <c r="D15" s="217">
        <v>0</v>
      </c>
      <c r="E15" s="217">
        <v>0</v>
      </c>
      <c r="F15" s="217">
        <v>0</v>
      </c>
      <c r="G15" s="368"/>
      <c r="H15" s="218">
        <f t="shared" si="1"/>
        <v>0</v>
      </c>
    </row>
    <row r="16" spans="1:8" ht="29.25" customHeight="1" thickBot="1" x14ac:dyDescent="0.3">
      <c r="A16" s="219" t="s">
        <v>496</v>
      </c>
      <c r="B16" s="220" t="s">
        <v>497</v>
      </c>
      <c r="C16" s="221">
        <v>0</v>
      </c>
      <c r="D16" s="221">
        <v>0</v>
      </c>
      <c r="E16" s="221">
        <v>0</v>
      </c>
      <c r="F16" s="221">
        <v>0</v>
      </c>
      <c r="G16" s="369"/>
      <c r="H16" s="218">
        <f t="shared" si="1"/>
        <v>0</v>
      </c>
    </row>
    <row r="17" spans="1:8" ht="21.75" customHeight="1" thickBot="1" x14ac:dyDescent="0.3">
      <c r="A17" s="223" t="s">
        <v>498</v>
      </c>
      <c r="B17" s="224" t="s">
        <v>499</v>
      </c>
      <c r="C17" s="225">
        <f>SUM(C10:C16)</f>
        <v>50422954</v>
      </c>
      <c r="D17" s="225">
        <f>SUM(D10:D16)</f>
        <v>40400000</v>
      </c>
      <c r="E17" s="225">
        <f t="shared" ref="E17:H17" si="2">SUM(E10:E16)</f>
        <v>41975600</v>
      </c>
      <c r="F17" s="225">
        <f t="shared" si="2"/>
        <v>43612648.399999999</v>
      </c>
      <c r="G17" s="441">
        <f t="shared" si="2"/>
        <v>45313541.687599994</v>
      </c>
      <c r="H17" s="225">
        <f t="shared" si="2"/>
        <v>171301790.08759999</v>
      </c>
    </row>
    <row r="18" spans="1:8" ht="20.25" customHeight="1" thickBot="1" x14ac:dyDescent="0.3">
      <c r="A18" s="227" t="s">
        <v>500</v>
      </c>
      <c r="B18" s="228" t="s">
        <v>501</v>
      </c>
      <c r="C18" s="229">
        <f>+C17*0.5</f>
        <v>25211477</v>
      </c>
      <c r="D18" s="229">
        <f>+D17*0.5</f>
        <v>20200000</v>
      </c>
      <c r="E18" s="229">
        <f t="shared" ref="E18:G18" si="3">+E17*0.5</f>
        <v>20987800</v>
      </c>
      <c r="F18" s="229">
        <f t="shared" si="3"/>
        <v>21806324.199999999</v>
      </c>
      <c r="G18" s="442">
        <f t="shared" si="3"/>
        <v>22656770.843799997</v>
      </c>
      <c r="H18" s="218">
        <f>D18+E18+F18+G18</f>
        <v>85650895.043799996</v>
      </c>
    </row>
    <row r="19" spans="1:8" ht="40.5" customHeight="1" thickBot="1" x14ac:dyDescent="0.3">
      <c r="A19" s="223" t="s">
        <v>502</v>
      </c>
      <c r="B19" s="230">
        <v>10</v>
      </c>
      <c r="C19" s="225">
        <f>SUM(C20:C26)</f>
        <v>0</v>
      </c>
      <c r="D19" s="225">
        <f>SUM(D20:D26)</f>
        <v>0</v>
      </c>
      <c r="E19" s="225">
        <f>SUM(E20:E26)</f>
        <v>0</v>
      </c>
      <c r="F19" s="225">
        <f>SUM(F20:F26)</f>
        <v>0</v>
      </c>
      <c r="G19" s="370"/>
      <c r="H19" s="226">
        <f t="shared" ref="H19:H35" si="4">+C19+D19+E19+F19</f>
        <v>0</v>
      </c>
    </row>
    <row r="20" spans="1:8" ht="30" customHeight="1" x14ac:dyDescent="0.25">
      <c r="A20" s="231" t="s">
        <v>503</v>
      </c>
      <c r="B20" s="232">
        <v>11</v>
      </c>
      <c r="C20" s="233">
        <v>0</v>
      </c>
      <c r="D20" s="233">
        <v>0</v>
      </c>
      <c r="E20" s="233">
        <v>0</v>
      </c>
      <c r="F20" s="233">
        <v>0</v>
      </c>
      <c r="G20" s="371"/>
      <c r="H20" s="234">
        <f t="shared" si="4"/>
        <v>0</v>
      </c>
    </row>
    <row r="21" spans="1:8" ht="25.5" customHeight="1" x14ac:dyDescent="0.25">
      <c r="A21" s="215" t="s">
        <v>504</v>
      </c>
      <c r="B21" s="235">
        <v>12</v>
      </c>
      <c r="C21" s="217">
        <v>0</v>
      </c>
      <c r="D21" s="217">
        <v>0</v>
      </c>
      <c r="E21" s="217">
        <v>0</v>
      </c>
      <c r="F21" s="217">
        <v>0</v>
      </c>
      <c r="G21" s="368"/>
      <c r="H21" s="218">
        <f t="shared" si="4"/>
        <v>0</v>
      </c>
    </row>
    <row r="22" spans="1:8" x14ac:dyDescent="0.25">
      <c r="A22" s="215" t="s">
        <v>505</v>
      </c>
      <c r="B22" s="235">
        <v>13</v>
      </c>
      <c r="C22" s="217">
        <v>0</v>
      </c>
      <c r="D22" s="217">
        <v>0</v>
      </c>
      <c r="E22" s="217">
        <v>0</v>
      </c>
      <c r="F22" s="217">
        <v>0</v>
      </c>
      <c r="G22" s="368"/>
      <c r="H22" s="218">
        <f t="shared" si="4"/>
        <v>0</v>
      </c>
    </row>
    <row r="23" spans="1:8" x14ac:dyDescent="0.25">
      <c r="A23" s="215" t="s">
        <v>506</v>
      </c>
      <c r="B23" s="235">
        <v>14</v>
      </c>
      <c r="C23" s="217">
        <v>0</v>
      </c>
      <c r="D23" s="217">
        <v>0</v>
      </c>
      <c r="E23" s="217">
        <v>0</v>
      </c>
      <c r="F23" s="217">
        <v>0</v>
      </c>
      <c r="G23" s="368"/>
      <c r="H23" s="218">
        <f t="shared" si="4"/>
        <v>0</v>
      </c>
    </row>
    <row r="24" spans="1:8" x14ac:dyDescent="0.25">
      <c r="A24" s="215" t="s">
        <v>507</v>
      </c>
      <c r="B24" s="235">
        <v>15</v>
      </c>
      <c r="C24" s="217">
        <v>0</v>
      </c>
      <c r="D24" s="217">
        <v>0</v>
      </c>
      <c r="E24" s="217">
        <v>0</v>
      </c>
      <c r="F24" s="217">
        <v>0</v>
      </c>
      <c r="G24" s="368"/>
      <c r="H24" s="218">
        <f t="shared" si="4"/>
        <v>0</v>
      </c>
    </row>
    <row r="25" spans="1:8" x14ac:dyDescent="0.25">
      <c r="A25" s="215" t="s">
        <v>508</v>
      </c>
      <c r="B25" s="235">
        <v>16</v>
      </c>
      <c r="C25" s="217">
        <v>0</v>
      </c>
      <c r="D25" s="217">
        <v>0</v>
      </c>
      <c r="E25" s="217">
        <v>0</v>
      </c>
      <c r="F25" s="217">
        <v>0</v>
      </c>
      <c r="G25" s="368"/>
      <c r="H25" s="218">
        <f t="shared" si="4"/>
        <v>0</v>
      </c>
    </row>
    <row r="26" spans="1:8" ht="23.25" customHeight="1" thickBot="1" x14ac:dyDescent="0.3">
      <c r="A26" s="219" t="s">
        <v>509</v>
      </c>
      <c r="B26" s="236">
        <v>17</v>
      </c>
      <c r="C26" s="221">
        <v>0</v>
      </c>
      <c r="D26" s="221">
        <v>0</v>
      </c>
      <c r="E26" s="221">
        <v>0</v>
      </c>
      <c r="F26" s="221">
        <v>0</v>
      </c>
      <c r="G26" s="369"/>
      <c r="H26" s="222">
        <f t="shared" si="4"/>
        <v>0</v>
      </c>
    </row>
    <row r="27" spans="1:8" ht="37.5" customHeight="1" thickBot="1" x14ac:dyDescent="0.3">
      <c r="A27" s="223" t="s">
        <v>510</v>
      </c>
      <c r="B27" s="230">
        <v>18</v>
      </c>
      <c r="C27" s="225">
        <f>SUM(C28:C34)</f>
        <v>0</v>
      </c>
      <c r="D27" s="225">
        <f>SUM(D28:D34)</f>
        <v>0</v>
      </c>
      <c r="E27" s="225">
        <f>SUM(E28:E34)</f>
        <v>0</v>
      </c>
      <c r="F27" s="225">
        <f>SUM(F28:F34)</f>
        <v>0</v>
      </c>
      <c r="G27" s="370"/>
      <c r="H27" s="226">
        <f t="shared" si="4"/>
        <v>0</v>
      </c>
    </row>
    <row r="28" spans="1:8" ht="24" customHeight="1" x14ac:dyDescent="0.25">
      <c r="A28" s="231" t="s">
        <v>503</v>
      </c>
      <c r="B28" s="232">
        <v>19</v>
      </c>
      <c r="C28" s="233">
        <v>0</v>
      </c>
      <c r="D28" s="233">
        <v>0</v>
      </c>
      <c r="E28" s="233">
        <v>0</v>
      </c>
      <c r="F28" s="233">
        <v>0</v>
      </c>
      <c r="G28" s="371"/>
      <c r="H28" s="234">
        <f t="shared" si="4"/>
        <v>0</v>
      </c>
    </row>
    <row r="29" spans="1:8" ht="23.25" customHeight="1" x14ac:dyDescent="0.25">
      <c r="A29" s="215" t="s">
        <v>504</v>
      </c>
      <c r="B29" s="235">
        <v>20</v>
      </c>
      <c r="C29" s="233">
        <v>0</v>
      </c>
      <c r="D29" s="233">
        <v>0</v>
      </c>
      <c r="E29" s="233">
        <v>0</v>
      </c>
      <c r="F29" s="233">
        <v>0</v>
      </c>
      <c r="G29" s="371"/>
      <c r="H29" s="218">
        <f t="shared" si="4"/>
        <v>0</v>
      </c>
    </row>
    <row r="30" spans="1:8" ht="19.5" customHeight="1" x14ac:dyDescent="0.25">
      <c r="A30" s="215" t="s">
        <v>505</v>
      </c>
      <c r="B30" s="235">
        <v>21</v>
      </c>
      <c r="C30" s="233">
        <v>0</v>
      </c>
      <c r="D30" s="233">
        <v>0</v>
      </c>
      <c r="E30" s="233">
        <v>0</v>
      </c>
      <c r="F30" s="233">
        <v>0</v>
      </c>
      <c r="G30" s="371"/>
      <c r="H30" s="218">
        <f t="shared" si="4"/>
        <v>0</v>
      </c>
    </row>
    <row r="31" spans="1:8" x14ac:dyDescent="0.25">
      <c r="A31" s="215" t="s">
        <v>506</v>
      </c>
      <c r="B31" s="235">
        <v>22</v>
      </c>
      <c r="C31" s="233">
        <v>0</v>
      </c>
      <c r="D31" s="233">
        <v>0</v>
      </c>
      <c r="E31" s="233">
        <v>0</v>
      </c>
      <c r="F31" s="233">
        <v>0</v>
      </c>
      <c r="G31" s="371"/>
      <c r="H31" s="218">
        <f t="shared" si="4"/>
        <v>0</v>
      </c>
    </row>
    <row r="32" spans="1:8" x14ac:dyDescent="0.25">
      <c r="A32" s="215" t="s">
        <v>507</v>
      </c>
      <c r="B32" s="235">
        <v>23</v>
      </c>
      <c r="C32" s="233">
        <v>0</v>
      </c>
      <c r="D32" s="233">
        <v>0</v>
      </c>
      <c r="E32" s="233">
        <v>0</v>
      </c>
      <c r="F32" s="233">
        <v>0</v>
      </c>
      <c r="G32" s="371"/>
      <c r="H32" s="218">
        <f t="shared" si="4"/>
        <v>0</v>
      </c>
    </row>
    <row r="33" spans="1:8" x14ac:dyDescent="0.25">
      <c r="A33" s="215" t="s">
        <v>508</v>
      </c>
      <c r="B33" s="235">
        <v>24</v>
      </c>
      <c r="C33" s="233">
        <v>0</v>
      </c>
      <c r="D33" s="233">
        <v>0</v>
      </c>
      <c r="E33" s="233">
        <v>0</v>
      </c>
      <c r="F33" s="233">
        <v>0</v>
      </c>
      <c r="G33" s="371"/>
      <c r="H33" s="218">
        <f t="shared" si="4"/>
        <v>0</v>
      </c>
    </row>
    <row r="34" spans="1:8" ht="23.25" customHeight="1" thickBot="1" x14ac:dyDescent="0.3">
      <c r="A34" s="219" t="s">
        <v>509</v>
      </c>
      <c r="B34" s="236">
        <v>25</v>
      </c>
      <c r="C34" s="233">
        <v>0</v>
      </c>
      <c r="D34" s="233">
        <v>0</v>
      </c>
      <c r="E34" s="233">
        <v>0</v>
      </c>
      <c r="F34" s="233">
        <v>0</v>
      </c>
      <c r="G34" s="372"/>
      <c r="H34" s="222">
        <f t="shared" si="4"/>
        <v>0</v>
      </c>
    </row>
    <row r="35" spans="1:8" ht="21.75" thickBot="1" x14ac:dyDescent="0.3">
      <c r="A35" s="223" t="s">
        <v>511</v>
      </c>
      <c r="B35" s="230">
        <v>26</v>
      </c>
      <c r="C35" s="225">
        <f>+C19+C27</f>
        <v>0</v>
      </c>
      <c r="D35" s="225">
        <f>+D19+D27</f>
        <v>0</v>
      </c>
      <c r="E35" s="225">
        <f>+E19+E27</f>
        <v>0</v>
      </c>
      <c r="F35" s="225">
        <f>+F19+F27</f>
        <v>0</v>
      </c>
      <c r="G35" s="370"/>
      <c r="H35" s="226">
        <f t="shared" si="4"/>
        <v>0</v>
      </c>
    </row>
    <row r="36" spans="1:8" ht="21.75" thickBot="1" x14ac:dyDescent="0.3">
      <c r="A36" s="227" t="s">
        <v>512</v>
      </c>
      <c r="B36" s="237">
        <v>27</v>
      </c>
      <c r="C36" s="229">
        <f>+C18-C35</f>
        <v>25211477</v>
      </c>
      <c r="D36" s="229">
        <f>+D18-D35</f>
        <v>20200000</v>
      </c>
      <c r="E36" s="229">
        <f t="shared" ref="E36:G36" si="5">+E18-E35</f>
        <v>20987800</v>
      </c>
      <c r="F36" s="229">
        <f t="shared" si="5"/>
        <v>21806324.199999999</v>
      </c>
      <c r="G36" s="442">
        <f t="shared" si="5"/>
        <v>22656770.843799997</v>
      </c>
      <c r="H36" s="238">
        <f>D36+E36+F36+G36</f>
        <v>85650895.043799996</v>
      </c>
    </row>
  </sheetData>
  <mergeCells count="6">
    <mergeCell ref="A1:F2"/>
    <mergeCell ref="A4:H4"/>
    <mergeCell ref="A6:A8"/>
    <mergeCell ref="B6:B8"/>
    <mergeCell ref="H6:H8"/>
    <mergeCell ref="D6:G7"/>
  </mergeCells>
  <pageMargins left="0.7" right="0.7" top="0.75" bottom="0.75" header="0.3" footer="0.3"/>
  <pageSetup paperSize="9" scale="91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14"/>
  <sheetViews>
    <sheetView workbookViewId="0">
      <selection activeCell="F22" sqref="F22"/>
    </sheetView>
  </sheetViews>
  <sheetFormatPr defaultRowHeight="15" x14ac:dyDescent="0.25"/>
  <cols>
    <col min="2" max="2" width="20.28515625" customWidth="1"/>
    <col min="3" max="3" width="15.140625" customWidth="1"/>
    <col min="7" max="10" width="9.140625" style="194"/>
  </cols>
  <sheetData>
    <row r="1" spans="1:12" ht="15" customHeight="1" x14ac:dyDescent="0.25">
      <c r="A1" s="1120" t="s">
        <v>766</v>
      </c>
      <c r="B1" s="1120"/>
      <c r="C1" s="1120"/>
      <c r="D1" s="1120"/>
      <c r="E1" s="1120"/>
      <c r="F1" s="1120"/>
      <c r="G1" s="177"/>
      <c r="H1" s="177"/>
      <c r="I1" s="177"/>
      <c r="J1" s="177"/>
      <c r="K1" s="194"/>
      <c r="L1" s="194"/>
    </row>
    <row r="2" spans="1:12" x14ac:dyDescent="0.25">
      <c r="A2" s="1120"/>
      <c r="B2" s="1120"/>
      <c r="C2" s="1120"/>
      <c r="D2" s="1120"/>
      <c r="E2" s="1120"/>
      <c r="F2" s="1120"/>
      <c r="G2" s="177"/>
      <c r="H2" s="177"/>
      <c r="I2" s="177"/>
      <c r="J2" s="177"/>
      <c r="K2" s="194"/>
      <c r="L2" s="194"/>
    </row>
    <row r="3" spans="1:12" x14ac:dyDescent="0.25">
      <c r="A3" s="194"/>
      <c r="B3" s="194"/>
      <c r="C3" s="194"/>
      <c r="D3" s="194"/>
      <c r="E3" s="194"/>
      <c r="F3" s="194"/>
      <c r="K3" s="194"/>
      <c r="L3" s="194"/>
    </row>
    <row r="4" spans="1:12" x14ac:dyDescent="0.25">
      <c r="A4" s="936" t="s">
        <v>529</v>
      </c>
      <c r="B4" s="936"/>
      <c r="C4" s="936"/>
      <c r="D4" s="936"/>
      <c r="E4" s="936"/>
      <c r="F4" s="936"/>
      <c r="G4" s="936"/>
      <c r="H4" s="936"/>
      <c r="I4" s="936"/>
      <c r="J4" s="936"/>
      <c r="K4" s="936"/>
      <c r="L4" s="936"/>
    </row>
    <row r="5" spans="1:12" x14ac:dyDescent="0.25">
      <c r="A5" s="936"/>
      <c r="B5" s="936"/>
      <c r="C5" s="936"/>
      <c r="D5" s="936"/>
      <c r="E5" s="936"/>
      <c r="F5" s="936"/>
      <c r="G5" s="936"/>
      <c r="H5" s="936"/>
      <c r="I5" s="936"/>
      <c r="J5" s="936"/>
      <c r="K5" s="936"/>
      <c r="L5" s="936"/>
    </row>
    <row r="6" spans="1:12" x14ac:dyDescent="0.25">
      <c r="A6" s="194"/>
      <c r="B6" s="194"/>
      <c r="C6" s="194"/>
      <c r="D6" s="194"/>
      <c r="E6" s="194"/>
      <c r="F6" s="194"/>
      <c r="K6" s="194"/>
      <c r="L6" s="194"/>
    </row>
    <row r="7" spans="1:12" x14ac:dyDescent="0.25">
      <c r="A7" s="194"/>
      <c r="B7" s="194"/>
      <c r="C7" s="194"/>
      <c r="D7" s="194"/>
      <c r="E7" s="194"/>
      <c r="F7" s="194"/>
      <c r="K7" s="194"/>
      <c r="L7" s="194"/>
    </row>
    <row r="8" spans="1:12" x14ac:dyDescent="0.25">
      <c r="A8" s="1135" t="s">
        <v>275</v>
      </c>
      <c r="B8" s="1136" t="s">
        <v>513</v>
      </c>
      <c r="C8" s="1138" t="s">
        <v>514</v>
      </c>
      <c r="D8" s="1140"/>
      <c r="E8" s="1140"/>
      <c r="F8" s="1141"/>
      <c r="G8" s="239"/>
      <c r="H8" s="239"/>
      <c r="I8" s="239"/>
      <c r="J8" s="239"/>
      <c r="K8" s="1142" t="s">
        <v>515</v>
      </c>
      <c r="L8" s="1136" t="s">
        <v>408</v>
      </c>
    </row>
    <row r="9" spans="1:12" x14ac:dyDescent="0.25">
      <c r="A9" s="1135"/>
      <c r="B9" s="1137"/>
      <c r="C9" s="1139"/>
      <c r="D9" s="240">
        <v>2017</v>
      </c>
      <c r="E9" s="241">
        <v>2018</v>
      </c>
      <c r="F9" s="241">
        <v>2019</v>
      </c>
      <c r="G9" s="241">
        <v>2020</v>
      </c>
      <c r="H9" s="241">
        <v>2021</v>
      </c>
      <c r="I9" s="241">
        <v>2022</v>
      </c>
      <c r="J9" s="241">
        <v>2023</v>
      </c>
      <c r="K9" s="1142"/>
      <c r="L9" s="1137"/>
    </row>
    <row r="10" spans="1:12" ht="33" x14ac:dyDescent="0.25">
      <c r="A10" s="245"/>
      <c r="B10" s="246" t="s">
        <v>516</v>
      </c>
      <c r="C10" s="247">
        <f>SUM(C8:C8)</f>
        <v>0</v>
      </c>
      <c r="D10" s="244">
        <f>SUM(D8:D8)</f>
        <v>0</v>
      </c>
      <c r="E10" s="244">
        <f>SUM(E8:E8)</f>
        <v>0</v>
      </c>
      <c r="F10" s="244">
        <f>SUM(F8:F8)</f>
        <v>0</v>
      </c>
      <c r="G10" s="244"/>
      <c r="H10" s="244"/>
      <c r="I10" s="244"/>
      <c r="J10" s="244"/>
      <c r="K10" s="244">
        <v>0</v>
      </c>
      <c r="L10" s="244">
        <f>SUM(L8:L8)</f>
        <v>0</v>
      </c>
    </row>
    <row r="11" spans="1:12" x14ac:dyDescent="0.25">
      <c r="A11" s="240">
        <v>1</v>
      </c>
      <c r="B11" s="248"/>
      <c r="C11" s="242">
        <v>0</v>
      </c>
      <c r="D11" s="242"/>
      <c r="E11" s="242">
        <v>0</v>
      </c>
      <c r="F11" s="242">
        <v>0</v>
      </c>
      <c r="G11" s="242"/>
      <c r="H11" s="242"/>
      <c r="I11" s="242"/>
      <c r="J11" s="242"/>
      <c r="K11" s="243">
        <v>0</v>
      </c>
      <c r="L11" s="244"/>
    </row>
    <row r="12" spans="1:12" s="194" customFormat="1" x14ac:dyDescent="0.25">
      <c r="A12" s="240"/>
      <c r="B12" s="248" t="s">
        <v>558</v>
      </c>
      <c r="C12" s="242"/>
      <c r="D12" s="242">
        <v>2751180</v>
      </c>
      <c r="E12" s="242">
        <v>2833440</v>
      </c>
      <c r="F12" s="242">
        <v>2919096</v>
      </c>
      <c r="G12" s="242">
        <v>3006684</v>
      </c>
      <c r="H12" s="242">
        <v>3096732</v>
      </c>
      <c r="I12" s="242">
        <v>3189636</v>
      </c>
      <c r="J12" s="242">
        <v>2697630</v>
      </c>
      <c r="K12" s="243">
        <v>2023</v>
      </c>
      <c r="L12" s="244">
        <f>SUM(D12:J12)</f>
        <v>20494398</v>
      </c>
    </row>
    <row r="13" spans="1:12" ht="33" x14ac:dyDescent="0.25">
      <c r="A13" s="245"/>
      <c r="B13" s="246" t="s">
        <v>517</v>
      </c>
      <c r="C13" s="247">
        <f>SUM(C11)</f>
        <v>0</v>
      </c>
      <c r="D13" s="247">
        <f>SUM(D12)</f>
        <v>2751180</v>
      </c>
      <c r="E13" s="247">
        <f t="shared" ref="E13:L14" si="0">SUM(E12)</f>
        <v>2833440</v>
      </c>
      <c r="F13" s="247">
        <f t="shared" si="0"/>
        <v>2919096</v>
      </c>
      <c r="G13" s="247">
        <f t="shared" si="0"/>
        <v>3006684</v>
      </c>
      <c r="H13" s="247">
        <f t="shared" si="0"/>
        <v>3096732</v>
      </c>
      <c r="I13" s="247">
        <f t="shared" si="0"/>
        <v>3189636</v>
      </c>
      <c r="J13" s="247">
        <f t="shared" si="0"/>
        <v>2697630</v>
      </c>
      <c r="K13" s="244">
        <v>0</v>
      </c>
      <c r="L13" s="247">
        <f t="shared" si="0"/>
        <v>20494398</v>
      </c>
    </row>
    <row r="14" spans="1:12" x14ac:dyDescent="0.25">
      <c r="A14" s="242"/>
      <c r="B14" s="241" t="s">
        <v>518</v>
      </c>
      <c r="C14" s="247">
        <v>0</v>
      </c>
      <c r="D14" s="247">
        <f>SUM(D13)</f>
        <v>2751180</v>
      </c>
      <c r="E14" s="247">
        <f t="shared" si="0"/>
        <v>2833440</v>
      </c>
      <c r="F14" s="247">
        <f t="shared" si="0"/>
        <v>2919096</v>
      </c>
      <c r="G14" s="247">
        <f t="shared" si="0"/>
        <v>3006684</v>
      </c>
      <c r="H14" s="247">
        <f t="shared" si="0"/>
        <v>3096732</v>
      </c>
      <c r="I14" s="247">
        <f t="shared" si="0"/>
        <v>3189636</v>
      </c>
      <c r="J14" s="247">
        <f t="shared" si="0"/>
        <v>2697630</v>
      </c>
      <c r="K14" s="247">
        <f t="shared" ref="K14" si="1">SUM(K13)</f>
        <v>0</v>
      </c>
      <c r="L14" s="247">
        <f t="shared" si="0"/>
        <v>20494398</v>
      </c>
    </row>
  </sheetData>
  <mergeCells count="8">
    <mergeCell ref="A1:F2"/>
    <mergeCell ref="A4:L5"/>
    <mergeCell ref="A8:A9"/>
    <mergeCell ref="B8:B9"/>
    <mergeCell ref="C8:C9"/>
    <mergeCell ref="D8:F8"/>
    <mergeCell ref="K8:K9"/>
    <mergeCell ref="L8:L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24</vt:i4>
      </vt:variant>
      <vt:variant>
        <vt:lpstr>Névvel ellátott tartományok</vt:lpstr>
      </vt:variant>
      <vt:variant>
        <vt:i4>5</vt:i4>
      </vt:variant>
    </vt:vector>
  </HeadingPairs>
  <TitlesOfParts>
    <vt:vector size="29" baseType="lpstr">
      <vt:lpstr>1.melléklÖnkormányzati összesen</vt:lpstr>
      <vt:lpstr>2.melléklet Önkormányzat mérleg</vt:lpstr>
      <vt:lpstr>3mell-Normatíva</vt:lpstr>
      <vt:lpstr>4mellékletKözhatalmi bevételek</vt:lpstr>
      <vt:lpstr>5melléklet Működési bevétel</vt:lpstr>
      <vt:lpstr>6 melléklet kiadás</vt:lpstr>
      <vt:lpstr>7.melléklet Általános kiadások</vt:lpstr>
      <vt:lpstr>8.melléklet Település üzemelte</vt:lpstr>
      <vt:lpstr>9.melléklet Étkeztetés</vt:lpstr>
      <vt:lpstr>10.mell Egészségügyi</vt:lpstr>
      <vt:lpstr>11. melléklet Közfoglalkoztatás</vt:lpstr>
      <vt:lpstr>13 melléklet Átadott pénzeszköz</vt:lpstr>
      <vt:lpstr>12 melléklet Települési támogat</vt:lpstr>
      <vt:lpstr>14mellBeruházások felújítások</vt:lpstr>
      <vt:lpstr>15 mell Tartalék</vt:lpstr>
      <vt:lpstr>16mellIntézményi összesített</vt:lpstr>
      <vt:lpstr>17mell Óvoda</vt:lpstr>
      <vt:lpstr>18 mellMűvelődési Ház</vt:lpstr>
      <vt:lpstr>19 Hivatal költségvetése</vt:lpstr>
      <vt:lpstr>20 mell Ei felhaszn</vt:lpstr>
      <vt:lpstr>21 mellEngedélyezett létszám</vt:lpstr>
      <vt:lpstr>22mell Közvetett tám</vt:lpstr>
      <vt:lpstr>23mell Adósságot kel</vt:lpstr>
      <vt:lpstr>24mell Kötelezettség</vt:lpstr>
      <vt:lpstr>'16mellIntézményi összesített'!Nyomtatási_cím</vt:lpstr>
      <vt:lpstr>'17mell Óvoda'!Nyomtatási_cím</vt:lpstr>
      <vt:lpstr>'16mellIntézményi összesített'!Nyomtatási_terület</vt:lpstr>
      <vt:lpstr>'17mell Óvoda'!Nyomtatási_terület</vt:lpstr>
      <vt:lpstr>'5melléklet Működési bevétel'!Nyomtatási_terület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Aliz</dc:creator>
  <cp:lastModifiedBy>Tulajdonos</cp:lastModifiedBy>
  <cp:lastPrinted>2021-03-08T14:13:09Z</cp:lastPrinted>
  <dcterms:created xsi:type="dcterms:W3CDTF">2017-01-08T22:09:58Z</dcterms:created>
  <dcterms:modified xsi:type="dcterms:W3CDTF">2021-03-09T08:29:11Z</dcterms:modified>
</cp:coreProperties>
</file>